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1" activeTab="0"/>
  </bookViews>
  <sheets>
    <sheet name="2021-2023" sheetId="1" r:id="rId1"/>
  </sheets>
  <definedNames>
    <definedName name="_xlnm._FilterDatabase" localSheetId="0" hidden="1">'2021-2023'!$A$20:$K$152</definedName>
    <definedName name="_xlnm.Print_Titles" localSheetId="0">'2021-2023'!$18:$20</definedName>
    <definedName name="_xlnm.Print_Area" localSheetId="0">'2021-2023'!$A$1:$E$152</definedName>
  </definedNames>
  <calcPr fullCalcOnLoad="1"/>
</workbook>
</file>

<file path=xl/sharedStrings.xml><?xml version="1.0" encoding="utf-8"?>
<sst xmlns="http://schemas.openxmlformats.org/spreadsheetml/2006/main" count="224" uniqueCount="218">
  <si>
    <t>Налог на доходы  физических лиц</t>
  </si>
  <si>
    <t>НАЛОГИ НА СОВОКУПНЫЙ ДОХОД</t>
  </si>
  <si>
    <t>Единый налог на вмененный доход для отдельных видов деятельности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</si>
  <si>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</si>
  <si>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</si>
  <si>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</si>
  <si>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</si>
  <si>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</si>
  <si>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</si>
  <si>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</si>
  <si>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</si>
  <si>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</si>
  <si>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</si>
  <si>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</si>
  <si>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</si>
  <si>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</si>
  <si>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</si>
  <si>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</si>
  <si>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</si>
  <si>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</si>
  <si>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</si>
  <si>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</si>
  <si>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</si>
  <si>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</si>
  <si>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</si>
  <si>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</si>
  <si>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</si>
  <si>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</si>
  <si>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</si>
  <si>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</si>
  <si>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</si>
  <si>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</si>
  <si>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</si>
  <si>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Московской области</t>
  </si>
  <si>
    <t>к решению Совета депутатов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</si>
  <si>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</si>
  <si>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</si>
  <si>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</si>
  <si>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</si>
  <si>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</si>
  <si>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</si>
  <si>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</si>
  <si>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</si>
  <si>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</si>
  <si>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</si>
  <si>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</si>
  <si>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</si>
  <si>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</si>
  <si>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</si>
  <si>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</si>
  <si>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</si>
  <si>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</si>
  <si>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</si>
  <si>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000 1 11 09044 04 0000 120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</si>
  <si>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</si>
  <si>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</si>
  <si>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929 202 25466 04 0000 150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</si>
  <si>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</si>
  <si>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929 2 02 29999 04 0000 150</t>
  </si>
  <si>
    <t>929 2 02 27112 04 0000 150</t>
  </si>
  <si>
    <t>929 2 02 25497 04 0000 150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</si>
  <si>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</si>
  <si>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929 202 25242 04 0000 150</t>
  </si>
  <si>
    <t>929 2 02 20216 04 0000 150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</si>
  <si>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</si>
  <si>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929 202 25169 04 0000 150</t>
  </si>
  <si>
    <t>929 2 02 25555 04 0000 150</t>
  </si>
  <si>
    <t>929 2 02 30024 04 0000 150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</si>
  <si>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</si>
  <si>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929 2 02 30029 04 0000 150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</si>
  <si>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</si>
  <si>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929 2 02 39999 04 0000 150</t>
  </si>
  <si>
    <t>929 2 02 30022 04 0000 150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</si>
  <si>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</si>
  <si>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929 202 35082 04 0000 150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</si>
  <si>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</si>
  <si>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929 202 35176 04 0000 150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</si>
  <si>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</si>
  <si>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>929 2 02 35120 04 0000 150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</si>
  <si>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</si>
  <si>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929 202 35469 04 0000 150</t>
  </si>
  <si>
    <t xml:space="preserve">Субвенции бюджетам городских округов на проведение Всероссийской переписи населения 2020 года
</t>
  </si>
  <si>
    <t>929 2 02 20302 04 0000 150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</si>
  <si>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</si>
  <si>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</si>
  <si>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</si>
  <si>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</si>
  <si>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</si>
  <si>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</si>
  <si>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</si>
  <si>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000 2 02 15001 04 0000 150</t>
  </si>
  <si>
    <t>Дотации бюджетам городских округов на выравнивание бюджетной обеспеченности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</si>
  <si>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</si>
  <si>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</si>
  <si>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</si>
  <si>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</si>
  <si>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</si>
  <si>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 xml:space="preserve">182 1 05 02000 02 0000 110 </t>
  </si>
  <si>
    <t>182 105 04020 02 0000 110</t>
  </si>
  <si>
    <t>182 1 06 01000 00 0000 110</t>
  </si>
  <si>
    <t>182 1 06 06000 00 0000 110</t>
  </si>
  <si>
    <t>182  108 03010 01 0000 110</t>
  </si>
  <si>
    <t>929  108 07150 01 0000 110</t>
  </si>
  <si>
    <t>929 1 11 05012 04 0000 120</t>
  </si>
  <si>
    <t>929 1 11 05024 04 0000 120</t>
  </si>
  <si>
    <t>929 1 11 05074 04 0000 120</t>
  </si>
  <si>
    <t>048 1 12 01000 01 0000 120</t>
  </si>
  <si>
    <t>929 1 13 01994 04 0000 130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</si>
  <si>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</si>
  <si>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</si>
  <si>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</si>
  <si>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</si>
  <si>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</si>
  <si>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</si>
  <si>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</si>
  <si>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>Плановый период</t>
  </si>
  <si>
    <t>2022 год</t>
  </si>
  <si>
    <t>2021 год</t>
  </si>
  <si>
    <t xml:space="preserve"> 929 202 25210 04 0000 150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</si>
  <si>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</si>
  <si>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929 2 02 35135 04 0000 150</t>
  </si>
  <si>
    <t>2023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</si>
  <si>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</si>
  <si>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929 2 02 25304 04 0000 150</t>
  </si>
  <si>
    <t>929 2 02 25519 04 0000 150</t>
  </si>
  <si>
    <t>Субсидия бюджетам городских округов на поддержку отрасли культуры</t>
  </si>
  <si>
    <t>Субсидии бюджетам городских округов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</si>
  <si>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</si>
  <si>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929 2 02 25027 04 0000 150</t>
  </si>
  <si>
    <t>Единый сельскохозяйственный  налог</t>
  </si>
  <si>
    <t xml:space="preserve">000 1 05 03000 01 0000 110 </t>
  </si>
  <si>
    <t>929 1 11 09080 04 0000 120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</si>
  <si>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</si>
  <si>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929 1 13 02994 00 0000 130</t>
  </si>
  <si>
    <r>
      <t xml:space="preserve">Прочие субсидии бюджетам городских округов, </t>
    </r>
    <r>
      <rPr>
        <sz val="12"/>
        <rFont val="Times New Roman"/>
        <family val="1"/>
      </rPr>
      <t>в том числе</t>
    </r>
    <r>
      <rPr>
        <b/>
        <sz val="12"/>
        <rFont val="Times New Roman"/>
        <family val="1"/>
      </rPr>
      <t xml:space="preserve">
</t>
    </r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</si>
  <si>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</si>
  <si>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Московской области 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</si>
  <si>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</si>
  <si>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</si>
  <si>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</si>
  <si>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 xml:space="preserve">Субсидии бюджетам муниципальных образований Московской области на реализацию мероприятий по улучшению жилищных условий многодетных семей </t>
  </si>
  <si>
    <t>Субсидии бюджетам муниципальных образований Московской области на рекультивацию полигонов твердых коммунальных отходов</t>
  </si>
  <si>
    <t xml:space="preserve"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</si>
  <si>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</si>
  <si>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</si>
  <si>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</si>
  <si>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  на ремонт подъездов в многоквартирных домах</t>
  </si>
  <si>
    <t>Субсидии бюджетам муниципальных образований Московской области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</si>
  <si>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</si>
  <si>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</si>
  <si>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</si>
  <si>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</si>
  <si>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Прочие субвенции бюджетам городских округов, в том числе:</t>
  </si>
  <si>
    <r>
  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бюджетов,</t>
    </r>
    <r>
      <rPr>
        <i/>
        <sz val="12"/>
        <rFont val="Times New Roman"/>
        <family val="1"/>
      </rPr>
      <t xml:space="preserve"> в том числе:</t>
    </r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</si>
  <si>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</si>
  <si>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>Субсидии бюджетам муниципальных образований Московской области на обеспечение мероприятий по переселению граждан из аварийного жилищного фонда (Адресная программа МО на 2016-2021 годы)</t>
  </si>
  <si>
    <r>
      <t xml:space="preserve">Субсидии бюджетам городских округов на реализацию программ формирования современной городской среды, </t>
    </r>
    <r>
      <rPr>
        <i/>
        <sz val="12"/>
        <rFont val="Times New Roman"/>
        <family val="1"/>
      </rPr>
      <t>в том числе:</t>
    </r>
    <r>
      <rPr>
        <sz val="12"/>
        <rFont val="Times New Roman"/>
        <family val="1"/>
      </rPr>
      <t xml:space="preserve">
</t>
    </r>
  </si>
  <si>
    <t>Субсидии бюджетам муниципальных образований Московской области  на реализацию программ формирования современной городской среды в части благоустройства общественных территорий</t>
  </si>
  <si>
    <t>Субсидии бюджетам муниципальных образований Московской области  на  благоустройство общественных территорий в малых городах и исторических поселениях победителях Всеросийского конкурса лучших проектов создания комфортной городской среды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</si>
  <si>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(Министерству физической культуры и спорта МО)</t>
  </si>
  <si>
    <t xml:space="preserve">Субсидии бюджетам муниципальных образований Московской области на строительство и реконструкцию объектов коммунальной инфраструктуры </t>
  </si>
  <si>
    <t xml:space="preserve"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 </t>
  </si>
  <si>
    <t>Субсидии бюджетам муниципальных образований Московской области на проектирование и строительство дошкольных образовательных организаций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</si>
  <si>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</si>
  <si>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</t>
  </si>
  <si>
    <r>
      <t xml:space="preserve">Субсидии бюджетам городских округов на софинансирование капитальных вложений в объекты муниципальной собственности, </t>
    </r>
    <r>
      <rPr>
        <i/>
        <sz val="12"/>
        <rFont val="Times New Roman"/>
        <family val="1"/>
      </rPr>
      <t>в том числе:</t>
    </r>
    <r>
      <rPr>
        <sz val="12"/>
        <rFont val="Times New Roman"/>
        <family val="1"/>
      </rPr>
      <t xml:space="preserve">
</t>
    </r>
  </si>
  <si>
    <t>Поступление доходов в бюджет Сергиево-Посадского городского округа Московской области 
на 2021 год и на плановый период 2022 и 2023 годов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</si>
  <si>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</si>
  <si>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</si>
  <si>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</si>
  <si>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из бюджета Московской области бюджетам муниципальных образований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</si>
  <si>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</si>
  <si>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</si>
  <si>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</si>
  <si>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</si>
  <si>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</si>
  <si>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
осуществления государственных полномочий Московской области в области земельных отношений</t>
  </si>
  <si>
    <t>Субсидии бюджетам муниципальных образований Московской области на строительство и реконструкцию объектов очистки сточных вод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</si>
  <si>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</t>
  </si>
  <si>
    <t>Субсидии бюджетам муниципальных образований Московской области на ремонт дворовых территорий</t>
  </si>
  <si>
    <t>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</si>
  <si>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</si>
  <si>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Субсидии бюджетам муниципальных образований Московской области на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</si>
  <si>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(Министерству культуры МО)</t>
  </si>
  <si>
    <t xml:space="preserve"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</si>
  <si>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</si>
  <si>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от 17.12.2020 №30/01-МЗ</t>
  </si>
  <si>
    <t>929 2 02 25576 04 0000 150</t>
  </si>
  <si>
    <t>Субсидия на ямочный ремонт асфальтового покрытия дворовых территорий</t>
  </si>
  <si>
    <t>929 2 19 60010 04 0000 150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</si>
  <si>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</si>
  <si>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929 202 25208 04 0000 150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</si>
  <si>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</si>
  <si>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организациях,</t>
    </r>
    <r>
      <rPr>
        <i/>
        <sz val="12"/>
        <rFont val="Times New Roman"/>
        <family val="1"/>
      </rPr>
      <t xml:space="preserve"> в том числе:</t>
    </r>
  </si>
  <si>
    <t>929 2 18 04010 04 0000 150</t>
  </si>
  <si>
    <t>Доходы бюджетов городских округов от возврата бюджетными учреждениями остатков субсидий прошлых лет</t>
  </si>
  <si>
    <t>от ___________ №______</t>
  </si>
  <si>
    <t>Прочие дотации бюджетам городских округов</t>
  </si>
  <si>
    <t>929 2 02 19999 04 0000 150</t>
  </si>
  <si>
    <t>Прочие безвозмездные поступления от негосударственных организаций в бюджеты городских округов</t>
  </si>
  <si>
    <t>929 2 04 04099 04 0000 150</t>
  </si>
  <si>
    <t>Субсидия на софинансирование работ по строительству (реконструкции) объектов дорожного хозяйства местного значения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</si>
  <si>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РФ в многофункциональных центрах предоставления государственных и муниципальных услуг, а также их техническая поддержка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</si>
  <si>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огородничнских обьединений граждан</t>
  </si>
  <si>
    <t>Устройство контейнерных площадок</t>
  </si>
  <si>
    <t>Капитальные вложения в объекты общего образования</t>
  </si>
  <si>
    <t>929 2 02 35303 04 0000 150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</si>
  <si>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</si>
  <si>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I этап</t>
  </si>
  <si>
    <t xml:space="preserve"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</t>
  </si>
  <si>
    <t>Улучшение архитектурно-художественного облика улиц городов</t>
  </si>
  <si>
    <t>Инициативные платежи, зачисляемые в бюджеты городских округов</t>
  </si>
  <si>
    <t>929 1 17 15020 04 0000 150</t>
  </si>
  <si>
    <t>Комплексное благоустройство территорий муниципальных образований Московской области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</si>
  <si>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</si>
  <si>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проектов граждан, сформированных в рамках практик инициативного бюджетирования</t>
  </si>
  <si>
    <t>Межбюджетные трансферты, передаваемые бюджетам городских округов на поддержку отрасли культуры</t>
  </si>
  <si>
    <t>929 2 02 45519 04 0000 150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</si>
</sst>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  <numFmt numFmtId="179" formatCode="#,##0.000"/>
    <numFmt numFmtId="180" formatCode="#,##0_р_."/>
    <numFmt numFmtId="181" formatCode="#,##0.00\ &quot;₽&quot;"/>
    <numFmt numFmtId="182" formatCode="0.000"/>
    <numFmt numFmtId="183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wrapText="1"/>
    </xf>
    <xf numFmtId="172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justify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Fill="1" applyAlignment="1">
      <alignment horizontal="left"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5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82" fontId="5" fillId="0" borderId="0" xfId="0" applyNumberFormat="1" applyFont="1" applyAlignment="1">
      <alignment horizontal="left"/>
    </xf>
    <xf numFmtId="183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view="pageBreakPreview" zoomScale="75" zoomScaleNormal="75" zoomScaleSheetLayoutView="75" workbookViewId="0" topLeftCell="A1">
      <selection activeCell="F93" sqref="F1:H16384"/>
    </sheetView>
  </sheetViews>
  <sheetFormatPr defaultColWidth="9.00390625" defaultRowHeight="12.75"/>
  <cols>
    <col min="1" max="1" width="32.625" style="7" customWidth="1"/>
    <col min="2" max="2" width="65.00390625" style="1" customWidth="1"/>
    <col min="3" max="3" width="22.00390625" style="1" customWidth="1"/>
    <col min="4" max="4" width="21.75390625" style="1" customWidth="1"/>
    <col min="5" max="5" width="22.625" style="1" customWidth="1"/>
    <col min="6" max="6" width="45.625" style="1" customWidth="1"/>
    <col min="7" max="7" width="35.375" style="1" customWidth="1"/>
    <col min="8" max="8" width="34.75390625" style="1" customWidth="1"/>
    <col min="9" max="9" width="24.75390625" style="1" customWidth="1"/>
    <col min="10" max="16384" width="9.125" style="1" customWidth="1"/>
  </cols>
  <sheetData>
    <row r="1" ht="15.75">
      <c r="D1" s="11" t="s">
        <v>31</v>
      </c>
    </row>
    <row r="2" ht="15.75">
      <c r="D2" s="11" t="s">
        <v>34</v>
      </c>
    </row>
    <row r="3" ht="15.75">
      <c r="D3" s="11" t="s">
        <v>32</v>
      </c>
    </row>
    <row r="4" ht="15.75">
      <c r="D4" s="11" t="s">
        <v>85</v>
      </c>
    </row>
    <row r="5" ht="15.75">
      <c r="D5" s="11" t="s">
        <v>33</v>
      </c>
    </row>
    <row r="6" ht="15.75">
      <c r="D6" s="1" t="s">
        <v>196</v>
      </c>
    </row>
    <row r="9" ht="15.75">
      <c r="D9" s="11" t="s">
        <v>31</v>
      </c>
    </row>
    <row r="10" ht="15.75">
      <c r="D10" s="11" t="s">
        <v>34</v>
      </c>
    </row>
    <row r="11" ht="15.75">
      <c r="D11" s="11" t="s">
        <v>32</v>
      </c>
    </row>
    <row r="12" ht="15.75">
      <c r="D12" s="11" t="s">
        <v>85</v>
      </c>
    </row>
    <row r="13" ht="15.75">
      <c r="D13" s="11" t="s">
        <v>33</v>
      </c>
    </row>
    <row r="14" ht="15.75">
      <c r="D14" s="1" t="s">
        <v>186</v>
      </c>
    </row>
    <row r="15" spans="1:3" ht="13.5" customHeight="1">
      <c r="A15" s="2"/>
      <c r="B15" s="10"/>
      <c r="C15" s="10"/>
    </row>
    <row r="16" spans="1:5" ht="37.5" customHeight="1">
      <c r="A16" s="80" t="s">
        <v>166</v>
      </c>
      <c r="B16" s="80"/>
      <c r="C16" s="80"/>
      <c r="D16" s="80"/>
      <c r="E16" s="80"/>
    </row>
    <row r="17" spans="2:5" ht="17.25" customHeight="1">
      <c r="B17" s="4"/>
      <c r="C17" s="8"/>
      <c r="E17" s="8" t="s">
        <v>35</v>
      </c>
    </row>
    <row r="18" spans="1:5" ht="28.5" customHeight="1">
      <c r="A18" s="83" t="s">
        <v>15</v>
      </c>
      <c r="B18" s="83" t="s">
        <v>14</v>
      </c>
      <c r="C18" s="83" t="s">
        <v>117</v>
      </c>
      <c r="D18" s="81" t="s">
        <v>115</v>
      </c>
      <c r="E18" s="81"/>
    </row>
    <row r="19" spans="1:5" s="3" customFormat="1" ht="31.5" customHeight="1">
      <c r="A19" s="83"/>
      <c r="B19" s="83"/>
      <c r="C19" s="83"/>
      <c r="D19" s="15" t="s">
        <v>116</v>
      </c>
      <c r="E19" s="15" t="s">
        <v>121</v>
      </c>
    </row>
    <row r="20" spans="1:5" s="3" customFormat="1" ht="18" customHeight="1">
      <c r="A20" s="14">
        <v>1</v>
      </c>
      <c r="B20" s="14">
        <v>2</v>
      </c>
      <c r="C20" s="14">
        <v>3</v>
      </c>
      <c r="D20" s="15">
        <v>4</v>
      </c>
      <c r="E20" s="15">
        <v>5</v>
      </c>
    </row>
    <row r="21" spans="1:5" s="3" customFormat="1" ht="42" customHeight="1">
      <c r="A21" s="14"/>
      <c r="B21" s="16" t="s">
        <v>19</v>
      </c>
      <c r="C21" s="43">
        <f>C22+C38</f>
        <v>5275382.7974</v>
      </c>
      <c r="D21" s="43">
        <f>D22+D38</f>
        <v>4775213</v>
      </c>
      <c r="E21" s="43">
        <f>E22+E38</f>
        <v>4698653</v>
      </c>
    </row>
    <row r="22" spans="1:5" s="3" customFormat="1" ht="33" customHeight="1">
      <c r="A22" s="14" t="s">
        <v>6</v>
      </c>
      <c r="B22" s="16" t="s">
        <v>17</v>
      </c>
      <c r="C22" s="43">
        <f>C23+C26+C27+C35+C32</f>
        <v>4738167</v>
      </c>
      <c r="D22" s="43">
        <f>D23+D26+D27+D35+D32</f>
        <v>4320152</v>
      </c>
      <c r="E22" s="43">
        <f>E23+E26+E27+E35+E32</f>
        <v>4238367</v>
      </c>
    </row>
    <row r="23" spans="1:5" ht="33" customHeight="1">
      <c r="A23" s="17" t="s">
        <v>36</v>
      </c>
      <c r="B23" s="16" t="s">
        <v>0</v>
      </c>
      <c r="C23" s="43">
        <f>C24+C25</f>
        <v>3381426</v>
      </c>
      <c r="D23" s="43">
        <v>2855150</v>
      </c>
      <c r="E23" s="43">
        <v>2667370</v>
      </c>
    </row>
    <row r="24" spans="1:7" ht="33" customHeight="1">
      <c r="A24" s="18" t="s">
        <v>93</v>
      </c>
      <c r="B24" s="19" t="s">
        <v>0</v>
      </c>
      <c r="C24" s="30">
        <f>864790+2364534-104550+30302+121800</f>
        <v>3276876</v>
      </c>
      <c r="D24" s="44">
        <f>2855150-D25</f>
        <v>2768995</v>
      </c>
      <c r="E24" s="44">
        <f>2667370-E25</f>
        <v>2591440</v>
      </c>
      <c r="F24" s="65"/>
      <c r="G24" s="11"/>
    </row>
    <row r="25" spans="1:8" ht="120" customHeight="1">
      <c r="A25" s="18" t="s">
        <v>94</v>
      </c>
      <c r="B25" s="19" t="s">
        <v>37</v>
      </c>
      <c r="C25" s="30">
        <v>104550</v>
      </c>
      <c r="D25" s="45">
        <v>86155</v>
      </c>
      <c r="E25" s="45">
        <v>75930</v>
      </c>
      <c r="F25" s="75"/>
      <c r="G25" s="76"/>
      <c r="H25" s="5"/>
    </row>
    <row r="26" spans="1:5" ht="53.25" customHeight="1">
      <c r="A26" s="17" t="s">
        <v>95</v>
      </c>
      <c r="B26" s="16" t="s">
        <v>38</v>
      </c>
      <c r="C26" s="46">
        <v>90896</v>
      </c>
      <c r="D26" s="46">
        <v>87409</v>
      </c>
      <c r="E26" s="46">
        <v>86709</v>
      </c>
    </row>
    <row r="27" spans="1:5" ht="28.5" customHeight="1">
      <c r="A27" s="17" t="s">
        <v>3</v>
      </c>
      <c r="B27" s="16" t="s">
        <v>1</v>
      </c>
      <c r="C27" s="47">
        <f>C28+C29+C31</f>
        <v>706058</v>
      </c>
      <c r="D27" s="47">
        <f>D28+D29+D31+D30</f>
        <v>721408</v>
      </c>
      <c r="E27" s="47">
        <f>E28+E29+E31+E30</f>
        <v>807847</v>
      </c>
    </row>
    <row r="28" spans="1:6" ht="42" customHeight="1">
      <c r="A28" s="20" t="s">
        <v>96</v>
      </c>
      <c r="B28" s="19" t="s">
        <v>114</v>
      </c>
      <c r="C28" s="39">
        <f>567793+20000</f>
        <v>587793</v>
      </c>
      <c r="D28" s="48">
        <v>621516</v>
      </c>
      <c r="E28" s="48">
        <v>702013</v>
      </c>
      <c r="F28" s="65"/>
    </row>
    <row r="29" spans="1:6" ht="48" customHeight="1">
      <c r="A29" s="18" t="s">
        <v>97</v>
      </c>
      <c r="B29" s="19" t="s">
        <v>2</v>
      </c>
      <c r="C29" s="39">
        <v>25882</v>
      </c>
      <c r="D29" s="44">
        <v>0</v>
      </c>
      <c r="E29" s="48">
        <v>0</v>
      </c>
      <c r="F29" s="50"/>
    </row>
    <row r="30" spans="1:6" ht="42.75" customHeight="1">
      <c r="A30" s="18" t="s">
        <v>130</v>
      </c>
      <c r="B30" s="19" t="s">
        <v>129</v>
      </c>
      <c r="C30" s="39">
        <v>0</v>
      </c>
      <c r="D30" s="44">
        <v>962</v>
      </c>
      <c r="E30" s="48">
        <v>2090</v>
      </c>
      <c r="F30" s="50"/>
    </row>
    <row r="31" spans="1:6" ht="60" customHeight="1">
      <c r="A31" s="21" t="s">
        <v>98</v>
      </c>
      <c r="B31" s="19" t="s">
        <v>23</v>
      </c>
      <c r="C31" s="39">
        <v>92383</v>
      </c>
      <c r="D31" s="44">
        <v>98930</v>
      </c>
      <c r="E31" s="44">
        <v>103744</v>
      </c>
      <c r="F31" s="50"/>
    </row>
    <row r="32" spans="1:5" ht="32.25" customHeight="1">
      <c r="A32" s="22" t="s">
        <v>43</v>
      </c>
      <c r="B32" s="16" t="s">
        <v>44</v>
      </c>
      <c r="C32" s="47">
        <f>C33+C34</f>
        <v>522380</v>
      </c>
      <c r="D32" s="47">
        <f>D33+D34</f>
        <v>617334</v>
      </c>
      <c r="E32" s="47">
        <f>E33+E34</f>
        <v>636036</v>
      </c>
    </row>
    <row r="33" spans="1:5" ht="31.5" customHeight="1">
      <c r="A33" s="21" t="s">
        <v>99</v>
      </c>
      <c r="B33" s="19" t="s">
        <v>45</v>
      </c>
      <c r="C33" s="39">
        <v>139091</v>
      </c>
      <c r="D33" s="44">
        <v>146053</v>
      </c>
      <c r="E33" s="44">
        <v>153359</v>
      </c>
    </row>
    <row r="34" spans="1:6" ht="38.25" customHeight="1">
      <c r="A34" s="21" t="s">
        <v>100</v>
      </c>
      <c r="B34" s="19" t="s">
        <v>46</v>
      </c>
      <c r="C34" s="39">
        <f>533585-50296-100000</f>
        <v>383289</v>
      </c>
      <c r="D34" s="44">
        <f>532973-50296-11396</f>
        <v>471281</v>
      </c>
      <c r="E34" s="44">
        <f>532973-50296</f>
        <v>482677</v>
      </c>
      <c r="F34" s="65"/>
    </row>
    <row r="35" spans="1:5" ht="33" customHeight="1">
      <c r="A35" s="17" t="s">
        <v>9</v>
      </c>
      <c r="B35" s="16" t="s">
        <v>8</v>
      </c>
      <c r="C35" s="47">
        <f>C36+C37</f>
        <v>37407</v>
      </c>
      <c r="D35" s="47">
        <f>D36+D37</f>
        <v>38851</v>
      </c>
      <c r="E35" s="47">
        <f>E36+E37</f>
        <v>40405</v>
      </c>
    </row>
    <row r="36" spans="1:5" ht="79.5" customHeight="1">
      <c r="A36" s="18" t="s">
        <v>101</v>
      </c>
      <c r="B36" s="19" t="s">
        <v>16</v>
      </c>
      <c r="C36" s="39">
        <v>37357</v>
      </c>
      <c r="D36" s="44">
        <v>38851</v>
      </c>
      <c r="E36" s="44">
        <v>40405</v>
      </c>
    </row>
    <row r="37" spans="1:5" ht="48.75" customHeight="1">
      <c r="A37" s="18" t="s">
        <v>102</v>
      </c>
      <c r="B37" s="19" t="s">
        <v>11</v>
      </c>
      <c r="C37" s="39">
        <v>50</v>
      </c>
      <c r="D37" s="44">
        <v>0</v>
      </c>
      <c r="E37" s="44">
        <v>0</v>
      </c>
    </row>
    <row r="38" spans="1:5" ht="32.25" customHeight="1">
      <c r="A38" s="18"/>
      <c r="B38" s="16" t="s">
        <v>18</v>
      </c>
      <c r="C38" s="47">
        <f>C39+C45+C47+C50+C54+C55</f>
        <v>537215.7974</v>
      </c>
      <c r="D38" s="47">
        <f>D39+D45+D47+D50+D54+D55</f>
        <v>455061</v>
      </c>
      <c r="E38" s="47">
        <f>E39+E45+E47+E50+E54+E55</f>
        <v>460286</v>
      </c>
    </row>
    <row r="39" spans="1:5" ht="78" customHeight="1">
      <c r="A39" s="17" t="s">
        <v>4</v>
      </c>
      <c r="B39" s="16" t="s">
        <v>5</v>
      </c>
      <c r="C39" s="46">
        <f>C40+C42+C43+C41+C44</f>
        <v>445223</v>
      </c>
      <c r="D39" s="46">
        <f>D40+D42+D43+D41+D44</f>
        <v>415171</v>
      </c>
      <c r="E39" s="46">
        <f>E40+E42+E43+E41+E44</f>
        <v>420199</v>
      </c>
    </row>
    <row r="40" spans="1:6" ht="93" customHeight="1">
      <c r="A40" s="23" t="s">
        <v>103</v>
      </c>
      <c r="B40" s="24" t="s">
        <v>49</v>
      </c>
      <c r="C40" s="39">
        <v>349805</v>
      </c>
      <c r="D40" s="44">
        <v>349778</v>
      </c>
      <c r="E40" s="44">
        <v>349695</v>
      </c>
      <c r="F40" s="9"/>
    </row>
    <row r="41" spans="1:5" ht="78" customHeight="1">
      <c r="A41" s="20" t="s">
        <v>104</v>
      </c>
      <c r="B41" s="25" t="s">
        <v>50</v>
      </c>
      <c r="C41" s="39">
        <v>500</v>
      </c>
      <c r="D41" s="44">
        <v>500</v>
      </c>
      <c r="E41" s="44">
        <v>500</v>
      </c>
    </row>
    <row r="42" spans="1:8" s="12" customFormat="1" ht="59.25" customHeight="1">
      <c r="A42" s="26" t="s">
        <v>105</v>
      </c>
      <c r="B42" s="27" t="s">
        <v>51</v>
      </c>
      <c r="C42" s="39">
        <v>32622</v>
      </c>
      <c r="D42" s="39">
        <v>33819</v>
      </c>
      <c r="E42" s="39">
        <v>34881</v>
      </c>
      <c r="F42" s="51"/>
      <c r="G42" s="51"/>
      <c r="H42" s="51"/>
    </row>
    <row r="43" spans="1:8" s="12" customFormat="1" ht="93" customHeight="1">
      <c r="A43" s="28" t="s">
        <v>53</v>
      </c>
      <c r="B43" s="29" t="s">
        <v>52</v>
      </c>
      <c r="C43" s="39">
        <f>58796-10000</f>
        <v>48796</v>
      </c>
      <c r="D43" s="39">
        <f>31074-10000+30296-33796</f>
        <v>17574</v>
      </c>
      <c r="E43" s="39">
        <f>35123-10000+30296-33796</f>
        <v>21623</v>
      </c>
      <c r="F43" s="51"/>
      <c r="G43" s="51"/>
      <c r="H43" s="51"/>
    </row>
    <row r="44" spans="1:8" s="12" customFormat="1" ht="120" customHeight="1">
      <c r="A44" s="28" t="s">
        <v>131</v>
      </c>
      <c r="B44" s="29" t="s">
        <v>132</v>
      </c>
      <c r="C44" s="39">
        <f>10000+3500</f>
        <v>13500</v>
      </c>
      <c r="D44" s="39">
        <f>10000+3500</f>
        <v>13500</v>
      </c>
      <c r="E44" s="39">
        <f>10000+3500</f>
        <v>13500</v>
      </c>
      <c r="F44" s="51"/>
      <c r="G44" s="51"/>
      <c r="H44" s="51"/>
    </row>
    <row r="45" spans="1:5" ht="49.5" customHeight="1">
      <c r="A45" s="17" t="s">
        <v>12</v>
      </c>
      <c r="B45" s="16" t="s">
        <v>13</v>
      </c>
      <c r="C45" s="47">
        <f>C46</f>
        <v>5578</v>
      </c>
      <c r="D45" s="47">
        <f>D46</f>
        <v>3348</v>
      </c>
      <c r="E45" s="47">
        <v>3348</v>
      </c>
    </row>
    <row r="46" spans="1:6" ht="40.5" customHeight="1">
      <c r="A46" s="18" t="s">
        <v>106</v>
      </c>
      <c r="B46" s="19" t="s">
        <v>10</v>
      </c>
      <c r="C46" s="39">
        <f>3348+2230</f>
        <v>5578</v>
      </c>
      <c r="D46" s="44">
        <v>3348</v>
      </c>
      <c r="E46" s="44">
        <v>3348</v>
      </c>
      <c r="F46" s="11"/>
    </row>
    <row r="47" spans="1:5" ht="54.75" customHeight="1">
      <c r="A47" s="14" t="s">
        <v>20</v>
      </c>
      <c r="B47" s="16" t="s">
        <v>21</v>
      </c>
      <c r="C47" s="47">
        <f>C49+C48</f>
        <v>23051.7974</v>
      </c>
      <c r="D47" s="47">
        <f>D49+D48</f>
        <v>820</v>
      </c>
      <c r="E47" s="47">
        <f>E49+E48</f>
        <v>820</v>
      </c>
    </row>
    <row r="48" spans="1:5" ht="54.75" customHeight="1">
      <c r="A48" s="23" t="s">
        <v>107</v>
      </c>
      <c r="B48" s="24" t="s">
        <v>54</v>
      </c>
      <c r="C48" s="39">
        <v>820</v>
      </c>
      <c r="D48" s="44">
        <v>820</v>
      </c>
      <c r="E48" s="44">
        <v>820</v>
      </c>
    </row>
    <row r="49" spans="1:6" ht="49.5" customHeight="1">
      <c r="A49" s="20" t="s">
        <v>133</v>
      </c>
      <c r="B49" s="27" t="s">
        <v>55</v>
      </c>
      <c r="C49" s="39">
        <f>5000+3904.227+1350+7000-1350+527.5704+5800</f>
        <v>22231.7974</v>
      </c>
      <c r="D49" s="44">
        <v>0</v>
      </c>
      <c r="E49" s="44">
        <v>0</v>
      </c>
      <c r="F49" s="11"/>
    </row>
    <row r="50" spans="1:5" ht="43.5" customHeight="1">
      <c r="A50" s="17" t="s">
        <v>7</v>
      </c>
      <c r="B50" s="16" t="s">
        <v>22</v>
      </c>
      <c r="C50" s="47">
        <f>C51+C52+C53</f>
        <v>42190</v>
      </c>
      <c r="D50" s="47">
        <f>D51+D52+D53</f>
        <v>30949</v>
      </c>
      <c r="E50" s="47">
        <f>E51+E52+E53</f>
        <v>31033</v>
      </c>
    </row>
    <row r="51" spans="1:5" ht="111" customHeight="1">
      <c r="A51" s="30" t="s">
        <v>108</v>
      </c>
      <c r="B51" s="19" t="s">
        <v>92</v>
      </c>
      <c r="C51" s="39">
        <v>20706</v>
      </c>
      <c r="D51" s="44">
        <v>20706</v>
      </c>
      <c r="E51" s="44">
        <v>20790</v>
      </c>
    </row>
    <row r="52" spans="1:6" ht="68.25" customHeight="1">
      <c r="A52" s="30" t="s">
        <v>109</v>
      </c>
      <c r="B52" s="19" t="s">
        <v>89</v>
      </c>
      <c r="C52" s="39">
        <f>10194+3001</f>
        <v>13195</v>
      </c>
      <c r="D52" s="44">
        <v>7423</v>
      </c>
      <c r="E52" s="44">
        <v>7423</v>
      </c>
      <c r="F52" s="11"/>
    </row>
    <row r="53" spans="1:6" ht="93.75" customHeight="1">
      <c r="A53" s="30" t="s">
        <v>110</v>
      </c>
      <c r="B53" s="19" t="s">
        <v>88</v>
      </c>
      <c r="C53" s="39">
        <f>2820+5469</f>
        <v>8289</v>
      </c>
      <c r="D53" s="44">
        <v>2820</v>
      </c>
      <c r="E53" s="44">
        <v>2820</v>
      </c>
      <c r="F53" s="11"/>
    </row>
    <row r="54" spans="1:6" ht="65.25" customHeight="1">
      <c r="A54" s="14" t="s">
        <v>111</v>
      </c>
      <c r="B54" s="16" t="s">
        <v>87</v>
      </c>
      <c r="C54" s="47">
        <v>4673</v>
      </c>
      <c r="D54" s="47">
        <v>4773</v>
      </c>
      <c r="E54" s="47">
        <v>4886</v>
      </c>
      <c r="F54" s="11"/>
    </row>
    <row r="55" spans="1:6" ht="39" customHeight="1">
      <c r="A55" s="31" t="s">
        <v>47</v>
      </c>
      <c r="B55" s="32" t="s">
        <v>48</v>
      </c>
      <c r="C55" s="47">
        <f>15000-3500+3000+2000</f>
        <v>16500</v>
      </c>
      <c r="D55" s="47">
        <v>0</v>
      </c>
      <c r="E55" s="47">
        <v>0</v>
      </c>
      <c r="F55" s="11"/>
    </row>
    <row r="56" spans="1:6" ht="33.75" customHeight="1">
      <c r="A56" s="33" t="s">
        <v>113</v>
      </c>
      <c r="B56" s="34" t="s">
        <v>112</v>
      </c>
      <c r="C56" s="53">
        <f>11500+3000+2000</f>
        <v>16500</v>
      </c>
      <c r="D56" s="44">
        <v>0</v>
      </c>
      <c r="E56" s="44">
        <v>0</v>
      </c>
      <c r="F56" s="11"/>
    </row>
    <row r="57" spans="1:6" ht="33.75" customHeight="1">
      <c r="A57" s="33" t="s">
        <v>212</v>
      </c>
      <c r="B57" s="34" t="s">
        <v>211</v>
      </c>
      <c r="C57" s="53"/>
      <c r="D57" s="44"/>
      <c r="E57" s="44"/>
      <c r="F57" s="11"/>
    </row>
    <row r="58" spans="1:6" ht="45.75" customHeight="1">
      <c r="A58" s="17" t="s">
        <v>27</v>
      </c>
      <c r="B58" s="16" t="s">
        <v>28</v>
      </c>
      <c r="C58" s="47">
        <f>C59+C151+C150+C149</f>
        <v>5668505.698</v>
      </c>
      <c r="D58" s="47">
        <f>D59</f>
        <v>5531439.51004</v>
      </c>
      <c r="E58" s="47">
        <f>E59</f>
        <v>5120857.589</v>
      </c>
      <c r="F58" s="11"/>
    </row>
    <row r="59" spans="1:6" s="9" customFormat="1" ht="60" customHeight="1">
      <c r="A59" s="17" t="s">
        <v>24</v>
      </c>
      <c r="B59" s="35" t="s">
        <v>25</v>
      </c>
      <c r="C59" s="47">
        <f>C60+C62+C121+C146+C61</f>
        <v>5661226.848</v>
      </c>
      <c r="D59" s="47">
        <f>D60+D62+D121+D146+D61</f>
        <v>5531439.51004</v>
      </c>
      <c r="E59" s="47">
        <f>E60+E62+E121+E146</f>
        <v>5120857.589</v>
      </c>
      <c r="F59" s="77"/>
    </row>
    <row r="60" spans="1:7" ht="44.25" customHeight="1">
      <c r="A60" s="18" t="s">
        <v>90</v>
      </c>
      <c r="B60" s="36" t="s">
        <v>91</v>
      </c>
      <c r="C60" s="39">
        <v>2671</v>
      </c>
      <c r="D60" s="44">
        <f>6284-1911</f>
        <v>4373</v>
      </c>
      <c r="E60" s="44">
        <f>5461-4767</f>
        <v>694</v>
      </c>
      <c r="F60" s="11"/>
      <c r="G60" s="11"/>
    </row>
    <row r="61" spans="1:7" ht="44.25" customHeight="1">
      <c r="A61" s="18" t="s">
        <v>198</v>
      </c>
      <c r="B61" s="36" t="s">
        <v>197</v>
      </c>
      <c r="C61" s="39">
        <v>55000</v>
      </c>
      <c r="D61" s="44">
        <v>0</v>
      </c>
      <c r="E61" s="44">
        <v>0</v>
      </c>
      <c r="F61" s="11"/>
      <c r="G61" s="11"/>
    </row>
    <row r="62" spans="1:6" ht="59.25" customHeight="1">
      <c r="A62" s="37" t="s">
        <v>40</v>
      </c>
      <c r="B62" s="16" t="s">
        <v>29</v>
      </c>
      <c r="C62" s="47">
        <f>C63+C72+C77+C79+C80+C82+C91+C99+C64+C69+C73+C78+C81+C90+C76</f>
        <v>2258930.158</v>
      </c>
      <c r="D62" s="47">
        <f>D63+D72+D77+D79+D80+D82+D91+D99+D64+D69+D73+D78+D81+D90+D76</f>
        <v>2222268.52604</v>
      </c>
      <c r="E62" s="47">
        <f>E63+E72+E77+E79+E80+E82+E91+E99+E64+E69+E73+E78+E81+E90+E76</f>
        <v>1818595.605</v>
      </c>
      <c r="F62" s="65"/>
    </row>
    <row r="63" spans="1:8" ht="123" customHeight="1">
      <c r="A63" s="38" t="s">
        <v>63</v>
      </c>
      <c r="B63" s="19" t="s">
        <v>64</v>
      </c>
      <c r="C63" s="39">
        <f>82685+67005+17590.7</f>
        <v>167280.7</v>
      </c>
      <c r="D63" s="44">
        <f>92766</f>
        <v>92766</v>
      </c>
      <c r="E63" s="44">
        <f>96521-73257</f>
        <v>23264</v>
      </c>
      <c r="F63" s="65"/>
      <c r="G63" s="11"/>
      <c r="H63" s="11"/>
    </row>
    <row r="64" spans="1:8" ht="99.75" customHeight="1">
      <c r="A64" s="38" t="s">
        <v>82</v>
      </c>
      <c r="B64" s="19" t="s">
        <v>153</v>
      </c>
      <c r="C64" s="39">
        <f>C65+C66+C67+C68</f>
        <v>295256.29000000004</v>
      </c>
      <c r="D64" s="39">
        <f>D65+D66+D67</f>
        <v>141411.79</v>
      </c>
      <c r="E64" s="39">
        <f>E65+E66+E67</f>
        <v>490157.29000000004</v>
      </c>
      <c r="F64" s="65"/>
      <c r="G64" s="11"/>
      <c r="H64" s="11"/>
    </row>
    <row r="65" spans="1:8" ht="79.5" customHeight="1">
      <c r="A65" s="38"/>
      <c r="B65" s="54" t="s">
        <v>209</v>
      </c>
      <c r="C65" s="55">
        <f>22220.02+212277.98+23506.97+8041.56</f>
        <v>266046.53</v>
      </c>
      <c r="D65" s="56">
        <f>90976.28+3848.94</f>
        <v>94825.22</v>
      </c>
      <c r="E65" s="56">
        <f>364749.2-104111.37-1163.43</f>
        <v>259474.40000000002</v>
      </c>
      <c r="F65" s="79"/>
      <c r="G65" s="11"/>
      <c r="H65" s="11"/>
    </row>
    <row r="66" spans="1:8" ht="79.5" customHeight="1">
      <c r="A66" s="38"/>
      <c r="B66" s="54" t="s">
        <v>154</v>
      </c>
      <c r="C66" s="55">
        <f>3387.51+12547.62</f>
        <v>15935.130000000001</v>
      </c>
      <c r="D66" s="56">
        <f>46586.58-0.01</f>
        <v>46586.57</v>
      </c>
      <c r="E66" s="56">
        <f>234501.49+7240.37-11058.97</f>
        <v>230682.88999999998</v>
      </c>
      <c r="F66" s="65"/>
      <c r="G66" s="11"/>
      <c r="H66" s="11"/>
    </row>
    <row r="67" spans="1:8" ht="79.5" customHeight="1">
      <c r="A67" s="38"/>
      <c r="B67" s="54" t="s">
        <v>155</v>
      </c>
      <c r="C67" s="55">
        <f>12030.53-0.01+800.11</f>
        <v>12830.630000000001</v>
      </c>
      <c r="D67" s="56">
        <v>0</v>
      </c>
      <c r="E67" s="56">
        <v>0</v>
      </c>
      <c r="F67" s="65"/>
      <c r="G67" s="11"/>
      <c r="H67" s="11"/>
    </row>
    <row r="68" spans="1:8" ht="79.5" customHeight="1">
      <c r="A68" s="38"/>
      <c r="B68" s="54" t="s">
        <v>208</v>
      </c>
      <c r="C68" s="55">
        <v>444</v>
      </c>
      <c r="D68" s="55">
        <v>0</v>
      </c>
      <c r="E68" s="55">
        <v>0</v>
      </c>
      <c r="F68" s="65"/>
      <c r="G68" s="11"/>
      <c r="H68" s="11"/>
    </row>
    <row r="69" spans="1:8" ht="72.75" customHeight="1">
      <c r="A69" s="38" t="s">
        <v>128</v>
      </c>
      <c r="B69" s="19" t="s">
        <v>127</v>
      </c>
      <c r="C69" s="39">
        <f>C70+C71</f>
        <v>0</v>
      </c>
      <c r="D69" s="39">
        <f>D70+D71</f>
        <v>3468.99</v>
      </c>
      <c r="E69" s="39">
        <f>E70+E71</f>
        <v>976.45</v>
      </c>
      <c r="F69" s="65"/>
      <c r="G69" s="11"/>
      <c r="H69" s="11"/>
    </row>
    <row r="70" spans="1:8" ht="114.75" customHeight="1">
      <c r="A70" s="38"/>
      <c r="B70" s="54" t="s">
        <v>159</v>
      </c>
      <c r="C70" s="55">
        <v>0</v>
      </c>
      <c r="D70" s="56">
        <v>2468.99</v>
      </c>
      <c r="E70" s="56">
        <v>0</v>
      </c>
      <c r="F70" s="65"/>
      <c r="G70" s="11"/>
      <c r="H70" s="11"/>
    </row>
    <row r="71" spans="1:8" ht="106.5" customHeight="1">
      <c r="A71" s="38"/>
      <c r="B71" s="54" t="s">
        <v>183</v>
      </c>
      <c r="C71" s="55">
        <v>0</v>
      </c>
      <c r="D71" s="56">
        <v>1000</v>
      </c>
      <c r="E71" s="56">
        <v>976.45</v>
      </c>
      <c r="F71" s="65"/>
      <c r="G71" s="11"/>
      <c r="H71" s="11"/>
    </row>
    <row r="72" spans="1:8" ht="111" customHeight="1">
      <c r="A72" s="30" t="s">
        <v>65</v>
      </c>
      <c r="B72" s="67" t="s">
        <v>185</v>
      </c>
      <c r="C72" s="39">
        <f>2026+4248.94+0.06</f>
        <v>6275</v>
      </c>
      <c r="D72" s="44">
        <f>4025+2249.99+0.0168</f>
        <v>6275.0068</v>
      </c>
      <c r="E72" s="44">
        <f>6274.02+0.98</f>
        <v>6275</v>
      </c>
      <c r="F72" s="65"/>
      <c r="G72" s="11"/>
      <c r="H72" s="11"/>
    </row>
    <row r="73" spans="1:11" ht="72" customHeight="1">
      <c r="A73" s="30" t="s">
        <v>118</v>
      </c>
      <c r="B73" s="13" t="s">
        <v>193</v>
      </c>
      <c r="C73" s="39">
        <f>C74+C75</f>
        <v>1417.5</v>
      </c>
      <c r="D73" s="39">
        <f>D74+D75</f>
        <v>6723</v>
      </c>
      <c r="E73" s="39">
        <f>E74+E75</f>
        <v>0</v>
      </c>
      <c r="F73" s="65"/>
      <c r="G73" s="11"/>
      <c r="H73" s="11"/>
      <c r="I73" s="11"/>
      <c r="J73" s="11"/>
      <c r="K73" s="11"/>
    </row>
    <row r="74" spans="1:11" ht="171.75" customHeight="1">
      <c r="A74" s="30"/>
      <c r="B74" s="68" t="s">
        <v>184</v>
      </c>
      <c r="C74" s="55">
        <v>0</v>
      </c>
      <c r="D74" s="56">
        <f>6124+599</f>
        <v>6723</v>
      </c>
      <c r="E74" s="56">
        <v>0</v>
      </c>
      <c r="F74" s="65"/>
      <c r="G74" s="11"/>
      <c r="H74" s="11"/>
      <c r="I74" s="11"/>
      <c r="J74" s="11"/>
      <c r="K74" s="11"/>
    </row>
    <row r="75" spans="1:11" ht="171.75" customHeight="1">
      <c r="A75" s="30"/>
      <c r="B75" s="68" t="s">
        <v>214</v>
      </c>
      <c r="C75" s="55">
        <v>1417.5</v>
      </c>
      <c r="D75" s="56"/>
      <c r="E75" s="56"/>
      <c r="F75" s="65"/>
      <c r="G75" s="11"/>
      <c r="H75" s="11"/>
      <c r="I75" s="11"/>
      <c r="J75" s="11"/>
      <c r="K75" s="11"/>
    </row>
    <row r="76" spans="1:11" ht="160.5" customHeight="1">
      <c r="A76" s="30" t="s">
        <v>191</v>
      </c>
      <c r="B76" s="13" t="s">
        <v>192</v>
      </c>
      <c r="C76" s="55">
        <f>34445.84+15164.41+1452.51</f>
        <v>51062.76</v>
      </c>
      <c r="D76" s="56">
        <f>7941.1+12883.1+1+732.49</f>
        <v>21557.690000000002</v>
      </c>
      <c r="E76" s="56">
        <v>0</v>
      </c>
      <c r="F76" s="65"/>
      <c r="G76" s="11"/>
      <c r="H76" s="11"/>
      <c r="I76" s="11"/>
      <c r="J76" s="11"/>
      <c r="K76" s="11"/>
    </row>
    <row r="77" spans="1:11" ht="97.5" customHeight="1">
      <c r="A77" s="30" t="s">
        <v>62</v>
      </c>
      <c r="B77" s="13" t="s">
        <v>86</v>
      </c>
      <c r="C77" s="39">
        <f>320945.2+270539.53</f>
        <v>591484.73</v>
      </c>
      <c r="D77" s="44">
        <f>996122.1</f>
        <v>996122.1</v>
      </c>
      <c r="E77" s="44">
        <v>0</v>
      </c>
      <c r="F77" s="65"/>
      <c r="G77" s="11"/>
      <c r="H77" s="11"/>
      <c r="I77" s="11"/>
      <c r="J77" s="11"/>
      <c r="K77" s="11"/>
    </row>
    <row r="78" spans="1:11" ht="97.5" customHeight="1">
      <c r="A78" s="30" t="s">
        <v>123</v>
      </c>
      <c r="B78" s="52" t="s">
        <v>122</v>
      </c>
      <c r="C78" s="39">
        <f>108498-0.44+0.44-345.41+0.012</f>
        <v>108152.602</v>
      </c>
      <c r="D78" s="44">
        <f>116359-0.97876-578.3+0.078</f>
        <v>115779.79924</v>
      </c>
      <c r="E78" s="44">
        <f>88032+23231.31+2618.24+0.045</f>
        <v>113881.595</v>
      </c>
      <c r="F78" s="78"/>
      <c r="G78" s="78"/>
      <c r="H78" s="78"/>
      <c r="I78" s="11"/>
      <c r="J78" s="11"/>
      <c r="K78" s="11"/>
    </row>
    <row r="79" spans="1:11" ht="93.75" customHeight="1">
      <c r="A79" s="30" t="s">
        <v>56</v>
      </c>
      <c r="B79" s="13" t="s">
        <v>57</v>
      </c>
      <c r="C79" s="39">
        <f>2006.08+200.61</f>
        <v>2206.69</v>
      </c>
      <c r="D79" s="44">
        <f>1755.99</f>
        <v>1755.99</v>
      </c>
      <c r="E79" s="44">
        <f>1929.83</f>
        <v>1929.83</v>
      </c>
      <c r="F79" s="65"/>
      <c r="G79" s="11"/>
      <c r="H79" s="11"/>
      <c r="I79" s="11"/>
      <c r="J79" s="11"/>
      <c r="K79" s="11"/>
    </row>
    <row r="80" spans="1:11" ht="60" customHeight="1">
      <c r="A80" s="30" t="s">
        <v>60</v>
      </c>
      <c r="B80" s="13" t="s">
        <v>61</v>
      </c>
      <c r="C80" s="39">
        <f>6107.6+74.4</f>
        <v>6182</v>
      </c>
      <c r="D80" s="44">
        <f>5282</f>
        <v>5282</v>
      </c>
      <c r="E80" s="44">
        <f>4403</f>
        <v>4403</v>
      </c>
      <c r="F80" s="65"/>
      <c r="G80" s="11"/>
      <c r="H80" s="11"/>
      <c r="I80" s="11"/>
      <c r="J80" s="11"/>
      <c r="K80" s="11"/>
    </row>
    <row r="81" spans="1:11" ht="60" customHeight="1">
      <c r="A81" s="30" t="s">
        <v>124</v>
      </c>
      <c r="B81" s="13" t="s">
        <v>125</v>
      </c>
      <c r="C81" s="39">
        <f>14745</f>
        <v>14745</v>
      </c>
      <c r="D81" s="44">
        <f>22800</f>
        <v>22800</v>
      </c>
      <c r="E81" s="44">
        <f>7782.5</f>
        <v>7782.5</v>
      </c>
      <c r="F81" s="65"/>
      <c r="G81" s="11"/>
      <c r="H81" s="11"/>
      <c r="I81" s="11"/>
      <c r="J81" s="11"/>
      <c r="K81" s="11"/>
    </row>
    <row r="82" spans="1:11" ht="60" customHeight="1">
      <c r="A82" s="30" t="s">
        <v>66</v>
      </c>
      <c r="B82" s="13" t="s">
        <v>156</v>
      </c>
      <c r="C82" s="39">
        <f>C83+C84+C86+C89+C85+C87+C88</f>
        <v>248355.66999999998</v>
      </c>
      <c r="D82" s="39">
        <f>D83+D84+D86+D89+D85+D87+D88</f>
        <v>18348.77</v>
      </c>
      <c r="E82" s="39">
        <f>E83+E84+E86+E89+E85+E87+E88</f>
        <v>194424.52</v>
      </c>
      <c r="F82" s="65"/>
      <c r="G82" s="11"/>
      <c r="H82" s="62"/>
      <c r="I82" s="11"/>
      <c r="J82" s="11"/>
      <c r="K82" s="11"/>
    </row>
    <row r="83" spans="1:11" ht="76.5" customHeight="1">
      <c r="A83" s="30"/>
      <c r="B83" s="57" t="s">
        <v>157</v>
      </c>
      <c r="C83" s="55">
        <f>15460-15460+10000</f>
        <v>10000</v>
      </c>
      <c r="D83" s="56">
        <v>0</v>
      </c>
      <c r="E83" s="56">
        <v>190850.46</v>
      </c>
      <c r="F83" s="65"/>
      <c r="G83" s="11"/>
      <c r="H83" s="62"/>
      <c r="I83" s="11"/>
      <c r="J83" s="11"/>
      <c r="K83" s="11"/>
    </row>
    <row r="84" spans="1:11" ht="96" customHeight="1">
      <c r="A84" s="30"/>
      <c r="B84" s="57" t="s">
        <v>158</v>
      </c>
      <c r="C84" s="55">
        <f>34436.09+788.39-116.95+18864.03</f>
        <v>53971.56</v>
      </c>
      <c r="D84" s="56">
        <v>0</v>
      </c>
      <c r="E84" s="56">
        <v>0</v>
      </c>
      <c r="F84" s="65"/>
      <c r="G84" s="11"/>
      <c r="H84" s="62"/>
      <c r="I84" s="11"/>
      <c r="J84" s="11"/>
      <c r="K84" s="11"/>
    </row>
    <row r="85" spans="1:11" ht="96" customHeight="1">
      <c r="A85" s="30"/>
      <c r="B85" s="57" t="s">
        <v>180</v>
      </c>
      <c r="C85" s="55">
        <v>26600</v>
      </c>
      <c r="D85" s="56"/>
      <c r="E85" s="56"/>
      <c r="F85" s="65"/>
      <c r="G85" s="11"/>
      <c r="H85" s="62"/>
      <c r="I85" s="11"/>
      <c r="J85" s="11"/>
      <c r="K85" s="11"/>
    </row>
    <row r="86" spans="1:11" ht="96" customHeight="1">
      <c r="A86" s="30"/>
      <c r="B86" s="59" t="s">
        <v>178</v>
      </c>
      <c r="C86" s="55">
        <f>13234.8-3512-145.84</f>
        <v>9576.96</v>
      </c>
      <c r="D86" s="56">
        <f>18348.77</f>
        <v>18348.77</v>
      </c>
      <c r="E86" s="56">
        <f>3574.06</f>
        <v>3574.06</v>
      </c>
      <c r="F86" s="65"/>
      <c r="G86" s="11"/>
      <c r="H86" s="62"/>
      <c r="I86" s="11"/>
      <c r="J86" s="11"/>
      <c r="K86" s="11"/>
    </row>
    <row r="87" spans="1:11" ht="69" customHeight="1">
      <c r="A87" s="30"/>
      <c r="B87" s="59" t="s">
        <v>188</v>
      </c>
      <c r="C87" s="55">
        <f>40060.77+6205.6</f>
        <v>46266.369999999995</v>
      </c>
      <c r="D87" s="56"/>
      <c r="E87" s="56"/>
      <c r="F87" s="65"/>
      <c r="G87" s="11"/>
      <c r="H87" s="62"/>
      <c r="I87" s="11"/>
      <c r="J87" s="11"/>
      <c r="K87" s="11"/>
    </row>
    <row r="88" spans="1:11" ht="69" customHeight="1">
      <c r="A88" s="30"/>
      <c r="B88" s="59" t="s">
        <v>210</v>
      </c>
      <c r="C88" s="55">
        <v>70714.28</v>
      </c>
      <c r="D88" s="56"/>
      <c r="E88" s="56"/>
      <c r="F88" s="65"/>
      <c r="G88" s="11"/>
      <c r="H88" s="62"/>
      <c r="I88" s="11"/>
      <c r="J88" s="11"/>
      <c r="K88" s="11"/>
    </row>
    <row r="89" spans="1:11" ht="96" customHeight="1">
      <c r="A89" s="30"/>
      <c r="B89" s="59" t="s">
        <v>179</v>
      </c>
      <c r="C89" s="55">
        <v>31226.5</v>
      </c>
      <c r="D89" s="56">
        <v>0</v>
      </c>
      <c r="E89" s="56">
        <v>0</v>
      </c>
      <c r="F89" s="65"/>
      <c r="G89" s="11"/>
      <c r="H89" s="62"/>
      <c r="I89" s="11"/>
      <c r="J89" s="11"/>
      <c r="K89" s="11"/>
    </row>
    <row r="90" spans="1:11" s="70" customFormat="1" ht="45" customHeight="1">
      <c r="A90" s="74" t="s">
        <v>187</v>
      </c>
      <c r="B90" s="67" t="s">
        <v>126</v>
      </c>
      <c r="C90" s="39">
        <f>1097.4-93.94</f>
        <v>1003.46</v>
      </c>
      <c r="D90" s="39">
        <v>0</v>
      </c>
      <c r="E90" s="39">
        <v>0</v>
      </c>
      <c r="F90" s="69"/>
      <c r="G90" s="62"/>
      <c r="H90" s="62"/>
      <c r="I90" s="62"/>
      <c r="J90" s="62"/>
      <c r="K90" s="62"/>
    </row>
    <row r="91" spans="1:11" ht="61.5" customHeight="1">
      <c r="A91" s="38" t="s">
        <v>59</v>
      </c>
      <c r="B91" s="19" t="s">
        <v>165</v>
      </c>
      <c r="C91" s="39">
        <f>C92+C93+C94+C95+C96+C97+C98</f>
        <v>221527.06000000003</v>
      </c>
      <c r="D91" s="39">
        <f>D92+D93+D94+D95+D96+D97+D98</f>
        <v>479375.29</v>
      </c>
      <c r="E91" s="39">
        <f>E92+E93+E94+E95+E96+E97+E98</f>
        <v>698895.25</v>
      </c>
      <c r="F91" s="65"/>
      <c r="G91" s="11"/>
      <c r="H91" s="11"/>
      <c r="I91" s="11"/>
      <c r="J91" s="11"/>
      <c r="K91" s="11"/>
    </row>
    <row r="92" spans="1:8" ht="69" customHeight="1">
      <c r="A92" s="38"/>
      <c r="B92" s="59" t="s">
        <v>160</v>
      </c>
      <c r="C92" s="55">
        <f>99511.16+19919-18363.44</f>
        <v>101066.72</v>
      </c>
      <c r="D92" s="56">
        <v>0</v>
      </c>
      <c r="E92" s="56">
        <v>47633.78</v>
      </c>
      <c r="F92" s="65"/>
      <c r="G92" s="11"/>
      <c r="H92" s="11"/>
    </row>
    <row r="93" spans="1:8" ht="87.75" customHeight="1">
      <c r="A93" s="38"/>
      <c r="B93" s="59" t="s">
        <v>161</v>
      </c>
      <c r="C93" s="55">
        <v>107201.92</v>
      </c>
      <c r="D93" s="56">
        <v>0</v>
      </c>
      <c r="E93" s="56">
        <v>0</v>
      </c>
      <c r="F93" s="65"/>
      <c r="G93" s="11"/>
      <c r="H93" s="11"/>
    </row>
    <row r="94" spans="1:6" ht="78" customHeight="1">
      <c r="A94" s="38"/>
      <c r="B94" s="59" t="s">
        <v>162</v>
      </c>
      <c r="C94" s="55">
        <v>0</v>
      </c>
      <c r="D94" s="56">
        <v>0</v>
      </c>
      <c r="E94" s="56">
        <v>14766.22</v>
      </c>
      <c r="F94" s="65"/>
    </row>
    <row r="95" spans="1:8" ht="87.75" customHeight="1">
      <c r="A95" s="38"/>
      <c r="B95" s="59" t="s">
        <v>163</v>
      </c>
      <c r="C95" s="55">
        <v>0</v>
      </c>
      <c r="D95" s="56">
        <f>459656.97+9.32</f>
        <v>459666.29</v>
      </c>
      <c r="E95" s="56">
        <f>481244.02+128011.23</f>
        <v>609255.25</v>
      </c>
      <c r="F95" s="65"/>
      <c r="G95" s="11"/>
      <c r="H95" s="11"/>
    </row>
    <row r="96" spans="1:8" ht="99.75" customHeight="1">
      <c r="A96" s="38"/>
      <c r="B96" s="59" t="s">
        <v>164</v>
      </c>
      <c r="C96" s="55">
        <v>0</v>
      </c>
      <c r="D96" s="56">
        <v>3865</v>
      </c>
      <c r="E96" s="56">
        <v>27240</v>
      </c>
      <c r="F96" s="65"/>
      <c r="G96" s="11"/>
      <c r="H96" s="11"/>
    </row>
    <row r="97" spans="1:9" ht="99.75" customHeight="1">
      <c r="A97" s="38"/>
      <c r="B97" s="59" t="s">
        <v>177</v>
      </c>
      <c r="C97" s="55">
        <f>84409-68565-3283</f>
        <v>12561</v>
      </c>
      <c r="D97" s="56">
        <f>40235-40235+15844</f>
        <v>15844</v>
      </c>
      <c r="E97" s="56"/>
      <c r="F97" s="65"/>
      <c r="G97" s="11"/>
      <c r="H97" s="11"/>
      <c r="I97" s="50"/>
    </row>
    <row r="98" spans="1:9" ht="51.75" customHeight="1">
      <c r="A98" s="38"/>
      <c r="B98" s="59" t="s">
        <v>205</v>
      </c>
      <c r="C98" s="55">
        <v>697.42</v>
      </c>
      <c r="D98" s="56"/>
      <c r="E98" s="56"/>
      <c r="F98" s="65"/>
      <c r="G98" s="11"/>
      <c r="H98" s="11"/>
      <c r="I98" s="50"/>
    </row>
    <row r="99" spans="1:9" ht="58.5" customHeight="1">
      <c r="A99" s="37" t="s">
        <v>58</v>
      </c>
      <c r="B99" s="16" t="s">
        <v>134</v>
      </c>
      <c r="C99" s="47">
        <f>C100+C101+C102+C104+C105+C103+C106+C107+C108+C109+C110+C111+C112+C113+C114+C115+C116+C117+C118+C119+C120</f>
        <v>543980.696</v>
      </c>
      <c r="D99" s="47">
        <f>D100+D101+D102+D104+D105+D103+D106+D107+D108+D109+D110+D111+D112+D113+D114+D115+D116+D117+D118+D119+D120</f>
        <v>310602.1</v>
      </c>
      <c r="E99" s="47">
        <f>E100+E101+E102+E104+E105+E103+E106+E107+E108+E109+E110+E111+E112+E113+E114+E115+E116+E117+E118+E119+E120</f>
        <v>276606.17</v>
      </c>
      <c r="F99" s="65"/>
      <c r="G99" s="11"/>
      <c r="I99" s="50"/>
    </row>
    <row r="100" spans="1:9" ht="92.25" customHeight="1">
      <c r="A100" s="38"/>
      <c r="B100" s="54" t="s">
        <v>135</v>
      </c>
      <c r="C100" s="55">
        <f>28214.49+15000</f>
        <v>43214.490000000005</v>
      </c>
      <c r="D100" s="56">
        <f>65567.5-15000</f>
        <v>50567.5</v>
      </c>
      <c r="E100" s="56">
        <v>87504.05</v>
      </c>
      <c r="F100" s="65"/>
      <c r="G100" s="11"/>
      <c r="I100" s="50"/>
    </row>
    <row r="101" spans="1:9" ht="77.25" customHeight="1">
      <c r="A101" s="38"/>
      <c r="B101" s="54" t="s">
        <v>136</v>
      </c>
      <c r="C101" s="55">
        <f>22417-598</f>
        <v>21819</v>
      </c>
      <c r="D101" s="56">
        <v>0</v>
      </c>
      <c r="E101" s="56">
        <v>0</v>
      </c>
      <c r="F101" s="65"/>
      <c r="G101" s="11"/>
      <c r="I101" s="50"/>
    </row>
    <row r="102" spans="1:7" ht="90" customHeight="1">
      <c r="A102" s="38"/>
      <c r="B102" s="54" t="s">
        <v>137</v>
      </c>
      <c r="C102" s="55">
        <f>1680+2032</f>
        <v>3712</v>
      </c>
      <c r="D102" s="56">
        <v>1680</v>
      </c>
      <c r="E102" s="56">
        <v>0</v>
      </c>
      <c r="F102" s="65"/>
      <c r="G102" s="11"/>
    </row>
    <row r="103" spans="1:7" ht="99" customHeight="1">
      <c r="A103" s="38"/>
      <c r="B103" s="54" t="s">
        <v>138</v>
      </c>
      <c r="C103" s="55">
        <v>1770</v>
      </c>
      <c r="D103" s="56">
        <v>1770</v>
      </c>
      <c r="E103" s="56">
        <v>1770</v>
      </c>
      <c r="F103" s="65"/>
      <c r="G103" s="11"/>
    </row>
    <row r="104" spans="1:8" ht="109.5" customHeight="1">
      <c r="A104" s="38"/>
      <c r="B104" s="54" t="s">
        <v>181</v>
      </c>
      <c r="C104" s="55">
        <f>79059-3475</f>
        <v>75584</v>
      </c>
      <c r="D104" s="56">
        <f>67903-2985</f>
        <v>64918</v>
      </c>
      <c r="E104" s="56">
        <f>59821-2629</f>
        <v>57192</v>
      </c>
      <c r="F104" s="65"/>
      <c r="G104" s="11"/>
      <c r="H104" s="11"/>
    </row>
    <row r="105" spans="1:8" ht="77.25" customHeight="1">
      <c r="A105" s="38"/>
      <c r="B105" s="54" t="s">
        <v>139</v>
      </c>
      <c r="C105" s="55">
        <v>9729</v>
      </c>
      <c r="D105" s="56">
        <v>9729</v>
      </c>
      <c r="E105" s="56">
        <v>9729</v>
      </c>
      <c r="F105" s="65"/>
      <c r="G105" s="11"/>
      <c r="H105" s="11"/>
    </row>
    <row r="106" spans="1:8" ht="54" customHeight="1">
      <c r="A106" s="38"/>
      <c r="B106" s="54" t="s">
        <v>141</v>
      </c>
      <c r="C106" s="55">
        <f>355916.47-280692.47</f>
        <v>75224</v>
      </c>
      <c r="D106" s="56">
        <v>0</v>
      </c>
      <c r="E106" s="56">
        <v>0</v>
      </c>
      <c r="F106" s="65"/>
      <c r="G106" s="11"/>
      <c r="H106" s="11"/>
    </row>
    <row r="107" spans="1:8" ht="84.75" customHeight="1">
      <c r="A107" s="38"/>
      <c r="B107" s="54" t="s">
        <v>140</v>
      </c>
      <c r="C107" s="55">
        <f>17951-709</f>
        <v>17242</v>
      </c>
      <c r="D107" s="56">
        <v>10847</v>
      </c>
      <c r="E107" s="56">
        <v>0</v>
      </c>
      <c r="F107" s="65"/>
      <c r="G107" s="11"/>
      <c r="H107" s="11"/>
    </row>
    <row r="108" spans="1:8" ht="106.5" customHeight="1">
      <c r="A108" s="38"/>
      <c r="B108" s="54" t="s">
        <v>142</v>
      </c>
      <c r="C108" s="55">
        <v>34301</v>
      </c>
      <c r="D108" s="56">
        <v>57130</v>
      </c>
      <c r="E108" s="56">
        <v>35300</v>
      </c>
      <c r="F108" s="65"/>
      <c r="G108" s="11"/>
      <c r="H108" s="11"/>
    </row>
    <row r="109" spans="1:8" ht="129.75" customHeight="1">
      <c r="A109" s="38"/>
      <c r="B109" s="54" t="s">
        <v>182</v>
      </c>
      <c r="C109" s="55">
        <f>5478-25</f>
        <v>5453</v>
      </c>
      <c r="D109" s="56">
        <f>5537-26</f>
        <v>5511</v>
      </c>
      <c r="E109" s="56">
        <f>4895-28</f>
        <v>4867</v>
      </c>
      <c r="F109" s="65"/>
      <c r="G109" s="11"/>
      <c r="H109" s="11"/>
    </row>
    <row r="110" spans="1:8" ht="80.25" customHeight="1">
      <c r="A110" s="38"/>
      <c r="B110" s="54" t="s">
        <v>143</v>
      </c>
      <c r="C110" s="55">
        <v>0</v>
      </c>
      <c r="D110" s="56">
        <v>8142</v>
      </c>
      <c r="E110" s="56">
        <v>2772</v>
      </c>
      <c r="F110" s="65"/>
      <c r="G110" s="11"/>
      <c r="H110" s="11"/>
    </row>
    <row r="111" spans="1:7" ht="93" customHeight="1">
      <c r="A111" s="38"/>
      <c r="B111" s="54" t="s">
        <v>144</v>
      </c>
      <c r="C111" s="55">
        <v>0</v>
      </c>
      <c r="D111" s="56">
        <v>0</v>
      </c>
      <c r="E111" s="56">
        <v>13975</v>
      </c>
      <c r="F111" s="50"/>
      <c r="G111" s="11"/>
    </row>
    <row r="112" spans="1:7" ht="159" customHeight="1">
      <c r="A112" s="38"/>
      <c r="B112" s="54" t="s">
        <v>145</v>
      </c>
      <c r="C112" s="55">
        <v>0</v>
      </c>
      <c r="D112" s="56">
        <v>2498.5</v>
      </c>
      <c r="E112" s="56">
        <v>5551.8</v>
      </c>
      <c r="F112" s="65"/>
      <c r="G112" s="11"/>
    </row>
    <row r="113" spans="1:7" ht="72.75" customHeight="1">
      <c r="A113" s="38"/>
      <c r="B113" s="54" t="s">
        <v>146</v>
      </c>
      <c r="C113" s="55">
        <f>30235.34+24483.23</f>
        <v>54718.57</v>
      </c>
      <c r="D113" s="56">
        <v>0</v>
      </c>
      <c r="E113" s="56">
        <v>0</v>
      </c>
      <c r="F113" s="65"/>
      <c r="G113" s="11"/>
    </row>
    <row r="114" spans="1:7" ht="95.25" customHeight="1">
      <c r="A114" s="38"/>
      <c r="B114" s="54" t="s">
        <v>147</v>
      </c>
      <c r="C114" s="55">
        <v>0</v>
      </c>
      <c r="D114" s="56">
        <v>0</v>
      </c>
      <c r="E114" s="56">
        <v>57945.32</v>
      </c>
      <c r="F114" s="65"/>
      <c r="G114" s="11"/>
    </row>
    <row r="115" spans="1:7" ht="95.25" customHeight="1">
      <c r="A115" s="38"/>
      <c r="B115" s="54" t="s">
        <v>201</v>
      </c>
      <c r="C115" s="55">
        <f>208445.61-97809.104</f>
        <v>110636.50599999998</v>
      </c>
      <c r="D115" s="56">
        <v>97809.1</v>
      </c>
      <c r="E115" s="56"/>
      <c r="F115" s="65"/>
      <c r="G115" s="11"/>
    </row>
    <row r="116" spans="1:7" ht="124.5" customHeight="1">
      <c r="A116" s="38"/>
      <c r="B116" s="54" t="s">
        <v>202</v>
      </c>
      <c r="C116" s="55">
        <v>170</v>
      </c>
      <c r="D116" s="56"/>
      <c r="E116" s="56"/>
      <c r="F116" s="65"/>
      <c r="G116" s="11"/>
    </row>
    <row r="117" spans="1:7" ht="90" customHeight="1">
      <c r="A117" s="38"/>
      <c r="B117" s="54" t="s">
        <v>203</v>
      </c>
      <c r="C117" s="55">
        <f>41400+18551</f>
        <v>59951</v>
      </c>
      <c r="D117" s="56"/>
      <c r="E117" s="56"/>
      <c r="F117" s="65"/>
      <c r="G117" s="11"/>
    </row>
    <row r="118" spans="1:7" ht="37.5" customHeight="1">
      <c r="A118" s="38"/>
      <c r="B118" s="54" t="s">
        <v>204</v>
      </c>
      <c r="C118" s="55">
        <f>8602.02+3236.2</f>
        <v>11838.220000000001</v>
      </c>
      <c r="D118" s="56"/>
      <c r="E118" s="56"/>
      <c r="F118" s="65"/>
      <c r="G118" s="11"/>
    </row>
    <row r="119" spans="1:7" ht="37.5" customHeight="1">
      <c r="A119" s="38"/>
      <c r="B119" s="54" t="s">
        <v>213</v>
      </c>
      <c r="C119" s="55">
        <v>1843.81</v>
      </c>
      <c r="D119" s="56"/>
      <c r="E119" s="56"/>
      <c r="F119" s="65"/>
      <c r="G119" s="11"/>
    </row>
    <row r="120" spans="1:7" ht="37.5" customHeight="1">
      <c r="A120" s="38"/>
      <c r="B120" s="54" t="s">
        <v>215</v>
      </c>
      <c r="C120" s="55">
        <v>16774.1</v>
      </c>
      <c r="D120" s="56"/>
      <c r="E120" s="56"/>
      <c r="F120" s="65"/>
      <c r="G120" s="11"/>
    </row>
    <row r="121" spans="1:10" ht="44.25" customHeight="1">
      <c r="A121" s="15" t="s">
        <v>39</v>
      </c>
      <c r="B121" s="16" t="s">
        <v>30</v>
      </c>
      <c r="C121" s="47">
        <f>C123+C134+C135+C141+C122+C138+C137+C136+C140+C139</f>
        <v>3321559</v>
      </c>
      <c r="D121" s="47">
        <f>D123+D134+D135+D141+D122+D138+D137+D136+D140+D139</f>
        <v>3302797.984</v>
      </c>
      <c r="E121" s="47">
        <f>E123+E134+E135+E141+E122+E138+E137+E136+E140+E139</f>
        <v>3299567.984</v>
      </c>
      <c r="F121" s="50"/>
      <c r="G121" s="42"/>
      <c r="H121" s="42"/>
      <c r="I121" s="42"/>
      <c r="J121" s="42"/>
    </row>
    <row r="122" spans="1:6" ht="62.25" customHeight="1">
      <c r="A122" s="23" t="s">
        <v>72</v>
      </c>
      <c r="B122" s="19" t="s">
        <v>73</v>
      </c>
      <c r="C122" s="39">
        <f>129267+19000</f>
        <v>148267</v>
      </c>
      <c r="D122" s="44">
        <v>133363</v>
      </c>
      <c r="E122" s="44">
        <v>137723</v>
      </c>
      <c r="F122" s="65"/>
    </row>
    <row r="123" spans="1:8" ht="69" customHeight="1">
      <c r="A123" s="14" t="s">
        <v>67</v>
      </c>
      <c r="B123" s="16" t="s">
        <v>68</v>
      </c>
      <c r="C123" s="47">
        <f>C124+C125+C126+C127+C128+C129+C130+C131+C132+C133</f>
        <v>60655</v>
      </c>
      <c r="D123" s="47">
        <f>D124+D125+D126+D127+D128+D129+D130+D132+D133+D131</f>
        <v>58475</v>
      </c>
      <c r="E123" s="47">
        <f>E124+E125+E126+E127+E128+E129+E130+E132+E133+E131</f>
        <v>58621</v>
      </c>
      <c r="F123" s="50"/>
      <c r="H123" s="49"/>
    </row>
    <row r="124" spans="1:9" s="51" customFormat="1" ht="99.75" customHeight="1">
      <c r="A124" s="61"/>
      <c r="B124" s="59" t="s">
        <v>167</v>
      </c>
      <c r="C124" s="55">
        <v>988</v>
      </c>
      <c r="D124" s="55">
        <v>988</v>
      </c>
      <c r="E124" s="55">
        <v>988</v>
      </c>
      <c r="F124" s="66"/>
      <c r="G124" s="63"/>
      <c r="H124" s="64"/>
      <c r="I124" s="63"/>
    </row>
    <row r="125" spans="1:9" s="51" customFormat="1" ht="103.5" customHeight="1">
      <c r="A125" s="61"/>
      <c r="B125" s="58" t="s">
        <v>168</v>
      </c>
      <c r="C125" s="60">
        <v>11738</v>
      </c>
      <c r="D125" s="55">
        <v>11864</v>
      </c>
      <c r="E125" s="55">
        <v>12005</v>
      </c>
      <c r="F125" s="66"/>
      <c r="G125" s="63"/>
      <c r="H125" s="64"/>
      <c r="I125" s="63"/>
    </row>
    <row r="126" spans="1:9" s="51" customFormat="1" ht="102" customHeight="1">
      <c r="A126" s="61"/>
      <c r="B126" s="59" t="s">
        <v>169</v>
      </c>
      <c r="C126" s="60">
        <v>6036</v>
      </c>
      <c r="D126" s="55">
        <v>5968</v>
      </c>
      <c r="E126" s="55">
        <v>5973</v>
      </c>
      <c r="F126" s="66"/>
      <c r="G126" s="63"/>
      <c r="H126" s="64"/>
      <c r="I126" s="63"/>
    </row>
    <row r="127" spans="1:9" s="51" customFormat="1" ht="108" customHeight="1">
      <c r="A127" s="61"/>
      <c r="B127" s="59" t="s">
        <v>170</v>
      </c>
      <c r="C127" s="60">
        <v>8720</v>
      </c>
      <c r="D127" s="55">
        <v>8720</v>
      </c>
      <c r="E127" s="55">
        <v>8720</v>
      </c>
      <c r="F127" s="66"/>
      <c r="G127" s="63"/>
      <c r="H127" s="64"/>
      <c r="I127" s="63"/>
    </row>
    <row r="128" spans="1:9" s="51" customFormat="1" ht="87.75" customHeight="1">
      <c r="A128" s="61"/>
      <c r="B128" s="59" t="s">
        <v>171</v>
      </c>
      <c r="C128" s="60">
        <f>3833+2238</f>
        <v>6071</v>
      </c>
      <c r="D128" s="55">
        <v>3833</v>
      </c>
      <c r="E128" s="55">
        <v>3833</v>
      </c>
      <c r="F128" s="66"/>
      <c r="G128" s="63"/>
      <c r="H128" s="64"/>
      <c r="I128" s="63"/>
    </row>
    <row r="129" spans="1:9" s="51" customFormat="1" ht="86.25" customHeight="1">
      <c r="A129" s="61"/>
      <c r="B129" s="59" t="s">
        <v>172</v>
      </c>
      <c r="C129" s="61">
        <v>662</v>
      </c>
      <c r="D129" s="55">
        <v>662</v>
      </c>
      <c r="E129" s="55">
        <v>662</v>
      </c>
      <c r="F129" s="66"/>
      <c r="G129" s="63"/>
      <c r="H129" s="64"/>
      <c r="I129" s="63"/>
    </row>
    <row r="130" spans="1:9" s="51" customFormat="1" ht="228" customHeight="1">
      <c r="A130" s="61"/>
      <c r="B130" s="59" t="s">
        <v>173</v>
      </c>
      <c r="C130" s="60">
        <v>1912</v>
      </c>
      <c r="D130" s="55">
        <v>1912</v>
      </c>
      <c r="E130" s="55">
        <v>1912</v>
      </c>
      <c r="F130" s="66"/>
      <c r="G130" s="63"/>
      <c r="H130" s="64"/>
      <c r="I130" s="63"/>
    </row>
    <row r="131" spans="1:9" s="51" customFormat="1" ht="200.25" customHeight="1">
      <c r="A131" s="61"/>
      <c r="B131" s="59" t="s">
        <v>174</v>
      </c>
      <c r="C131" s="55">
        <v>3823</v>
      </c>
      <c r="D131" s="55">
        <v>3823</v>
      </c>
      <c r="E131" s="55">
        <v>3823</v>
      </c>
      <c r="F131" s="66"/>
      <c r="G131" s="63"/>
      <c r="H131" s="64"/>
      <c r="I131" s="63"/>
    </row>
    <row r="132" spans="1:9" s="51" customFormat="1" ht="111.75" customHeight="1">
      <c r="A132" s="61"/>
      <c r="B132" s="59" t="s">
        <v>175</v>
      </c>
      <c r="C132" s="55">
        <v>2995</v>
      </c>
      <c r="D132" s="55">
        <v>2995</v>
      </c>
      <c r="E132" s="55">
        <v>2995</v>
      </c>
      <c r="F132" s="66"/>
      <c r="G132" s="63"/>
      <c r="H132" s="64"/>
      <c r="I132" s="63"/>
    </row>
    <row r="133" spans="1:9" s="51" customFormat="1" ht="90" customHeight="1">
      <c r="A133" s="61"/>
      <c r="B133" s="59" t="s">
        <v>176</v>
      </c>
      <c r="C133" s="55">
        <v>17710</v>
      </c>
      <c r="D133" s="55">
        <v>17710</v>
      </c>
      <c r="E133" s="55">
        <v>17710</v>
      </c>
      <c r="F133" s="66"/>
      <c r="G133" s="63"/>
      <c r="H133" s="64"/>
      <c r="I133" s="63"/>
    </row>
    <row r="134" spans="1:9" ht="105.75" customHeight="1">
      <c r="A134" s="20" t="s">
        <v>69</v>
      </c>
      <c r="B134" s="19" t="s">
        <v>70</v>
      </c>
      <c r="C134" s="39">
        <f>60507</f>
        <v>60507</v>
      </c>
      <c r="D134" s="44">
        <f>60507</f>
        <v>60507</v>
      </c>
      <c r="E134" s="44">
        <f>60507</f>
        <v>60507</v>
      </c>
      <c r="F134" s="65"/>
      <c r="G134" s="11"/>
      <c r="H134" s="11"/>
      <c r="I134" s="11"/>
    </row>
    <row r="135" spans="1:9" ht="95.25" customHeight="1">
      <c r="A135" s="20" t="s">
        <v>74</v>
      </c>
      <c r="B135" s="19" t="s">
        <v>75</v>
      </c>
      <c r="C135" s="39">
        <f>68012+12145+6323</f>
        <v>86480</v>
      </c>
      <c r="D135" s="44">
        <f>53438-234.016</f>
        <v>53203.984</v>
      </c>
      <c r="E135" s="44">
        <f>48580-234.016</f>
        <v>48345.984</v>
      </c>
      <c r="F135" s="65"/>
      <c r="G135" s="11"/>
      <c r="H135" s="11"/>
      <c r="I135" s="11"/>
    </row>
    <row r="136" spans="1:9" ht="95.25" customHeight="1">
      <c r="A136" s="20" t="s">
        <v>78</v>
      </c>
      <c r="B136" s="19" t="s">
        <v>79</v>
      </c>
      <c r="C136" s="39">
        <v>2</v>
      </c>
      <c r="D136" s="44">
        <v>1740</v>
      </c>
      <c r="E136" s="44">
        <v>58</v>
      </c>
      <c r="F136" s="65"/>
      <c r="G136" s="11"/>
      <c r="H136" s="11"/>
      <c r="I136" s="11"/>
    </row>
    <row r="137" spans="1:9" ht="84" customHeight="1">
      <c r="A137" s="20" t="s">
        <v>120</v>
      </c>
      <c r="B137" s="19" t="s">
        <v>119</v>
      </c>
      <c r="C137" s="39">
        <v>0</v>
      </c>
      <c r="D137" s="44">
        <f>1254-58</f>
        <v>1196</v>
      </c>
      <c r="E137" s="44">
        <v>0</v>
      </c>
      <c r="F137" s="65"/>
      <c r="G137" s="11"/>
      <c r="H137" s="11"/>
      <c r="I137" s="11"/>
    </row>
    <row r="138" spans="1:9" ht="100.5" customHeight="1">
      <c r="A138" s="20" t="s">
        <v>76</v>
      </c>
      <c r="B138" s="40" t="s">
        <v>77</v>
      </c>
      <c r="C138" s="39">
        <f>1230-1230</f>
        <v>0</v>
      </c>
      <c r="D138" s="44">
        <v>0</v>
      </c>
      <c r="E138" s="44">
        <v>0</v>
      </c>
      <c r="F138" s="65"/>
      <c r="G138" s="11"/>
      <c r="H138" s="11"/>
      <c r="I138" s="11"/>
    </row>
    <row r="139" spans="1:9" ht="100.5" customHeight="1">
      <c r="A139" s="23" t="s">
        <v>206</v>
      </c>
      <c r="B139" s="19" t="s">
        <v>207</v>
      </c>
      <c r="C139" s="39">
        <v>82026</v>
      </c>
      <c r="D139" s="44">
        <v>82026</v>
      </c>
      <c r="E139" s="44">
        <v>82026</v>
      </c>
      <c r="F139" s="65"/>
      <c r="G139" s="65"/>
      <c r="H139" s="65"/>
      <c r="I139" s="11"/>
    </row>
    <row r="140" spans="1:9" ht="55.5" customHeight="1">
      <c r="A140" s="20" t="s">
        <v>80</v>
      </c>
      <c r="B140" s="40" t="s">
        <v>81</v>
      </c>
      <c r="C140" s="39">
        <f>1958+2345</f>
        <v>4303</v>
      </c>
      <c r="D140" s="44">
        <v>0</v>
      </c>
      <c r="E140" s="44">
        <v>0</v>
      </c>
      <c r="F140" s="65"/>
      <c r="G140" s="11"/>
      <c r="H140" s="11"/>
      <c r="I140" s="11"/>
    </row>
    <row r="141" spans="1:9" ht="37.5" customHeight="1">
      <c r="A141" s="20" t="s">
        <v>71</v>
      </c>
      <c r="B141" s="19" t="s">
        <v>152</v>
      </c>
      <c r="C141" s="39">
        <f>C142+C143+C144+C145</f>
        <v>2879319</v>
      </c>
      <c r="D141" s="39">
        <f>D142+D143+D144+D145</f>
        <v>2912287</v>
      </c>
      <c r="E141" s="39">
        <f>E142+E143+E144+E145</f>
        <v>2912287</v>
      </c>
      <c r="F141" s="65"/>
      <c r="G141" s="11"/>
      <c r="H141" s="11"/>
      <c r="I141" s="11"/>
    </row>
    <row r="142" spans="1:9" ht="192" customHeight="1">
      <c r="A142" s="20"/>
      <c r="B142" s="59" t="s">
        <v>148</v>
      </c>
      <c r="C142" s="55">
        <f>72977-9387</f>
        <v>63590</v>
      </c>
      <c r="D142" s="55">
        <v>72977</v>
      </c>
      <c r="E142" s="56">
        <v>72977</v>
      </c>
      <c r="F142" s="65"/>
      <c r="G142" s="11"/>
      <c r="H142" s="11"/>
      <c r="I142" s="11"/>
    </row>
    <row r="143" spans="1:9" ht="230.25" customHeight="1">
      <c r="A143" s="20"/>
      <c r="B143" s="59" t="s">
        <v>149</v>
      </c>
      <c r="C143" s="55">
        <f>1936767-82026-21879+14108</f>
        <v>1846970</v>
      </c>
      <c r="D143" s="55">
        <f>1936767-82026</f>
        <v>1854741</v>
      </c>
      <c r="E143" s="56">
        <f>1936767-82026</f>
        <v>1854741</v>
      </c>
      <c r="F143" s="65"/>
      <c r="G143" s="11"/>
      <c r="H143" s="11"/>
      <c r="I143" s="11"/>
    </row>
    <row r="144" spans="1:9" ht="122.25" customHeight="1">
      <c r="A144" s="20"/>
      <c r="B144" s="59" t="s">
        <v>150</v>
      </c>
      <c r="C144" s="55">
        <f>2949+5069</f>
        <v>8018</v>
      </c>
      <c r="D144" s="55">
        <v>2949</v>
      </c>
      <c r="E144" s="56">
        <v>2949</v>
      </c>
      <c r="F144" s="65"/>
      <c r="G144" s="11"/>
      <c r="H144" s="11"/>
      <c r="I144" s="11"/>
    </row>
    <row r="145" spans="1:9" ht="198.75" customHeight="1">
      <c r="A145" s="20"/>
      <c r="B145" s="59" t="s">
        <v>151</v>
      </c>
      <c r="C145" s="55">
        <f>981620-6872-14007</f>
        <v>960741</v>
      </c>
      <c r="D145" s="55">
        <v>981620</v>
      </c>
      <c r="E145" s="56">
        <v>981620</v>
      </c>
      <c r="F145" s="65"/>
      <c r="G145" s="11"/>
      <c r="H145" s="11"/>
      <c r="I145" s="11"/>
    </row>
    <row r="146" spans="1:9" ht="41.25" customHeight="1">
      <c r="A146" s="15" t="s">
        <v>42</v>
      </c>
      <c r="B146" s="16" t="s">
        <v>41</v>
      </c>
      <c r="C146" s="43">
        <f>C148+C147</f>
        <v>23066.69</v>
      </c>
      <c r="D146" s="43">
        <f>D148+D147</f>
        <v>2000</v>
      </c>
      <c r="E146" s="43">
        <f>E148+E147</f>
        <v>2000</v>
      </c>
      <c r="F146" s="65"/>
      <c r="G146" s="11"/>
      <c r="H146" s="11"/>
      <c r="I146" s="11"/>
    </row>
    <row r="147" spans="1:9" ht="41.25" customHeight="1">
      <c r="A147" s="20" t="s">
        <v>217</v>
      </c>
      <c r="B147" s="19" t="s">
        <v>216</v>
      </c>
      <c r="C147" s="30">
        <v>66.69</v>
      </c>
      <c r="D147" s="30"/>
      <c r="E147" s="30"/>
      <c r="F147" s="65"/>
      <c r="G147" s="11"/>
      <c r="H147" s="11"/>
      <c r="I147" s="11"/>
    </row>
    <row r="148" spans="1:9" ht="57.75" customHeight="1">
      <c r="A148" s="20" t="s">
        <v>83</v>
      </c>
      <c r="B148" s="19" t="s">
        <v>84</v>
      </c>
      <c r="C148" s="30">
        <f>1000+1000+21000</f>
        <v>23000</v>
      </c>
      <c r="D148" s="44">
        <v>2000</v>
      </c>
      <c r="E148" s="44">
        <f>2000</f>
        <v>2000</v>
      </c>
      <c r="F148" s="65"/>
      <c r="G148" s="11"/>
      <c r="H148" s="11"/>
      <c r="I148" s="11"/>
    </row>
    <row r="149" spans="1:9" ht="57.75" customHeight="1">
      <c r="A149" s="14" t="s">
        <v>200</v>
      </c>
      <c r="B149" s="16" t="s">
        <v>199</v>
      </c>
      <c r="C149" s="43">
        <v>15</v>
      </c>
      <c r="D149" s="73">
        <v>0</v>
      </c>
      <c r="E149" s="73">
        <v>0</v>
      </c>
      <c r="F149" s="65"/>
      <c r="G149" s="11"/>
      <c r="H149" s="11"/>
      <c r="I149" s="11"/>
    </row>
    <row r="150" spans="1:9" ht="57.75" customHeight="1">
      <c r="A150" s="71" t="s">
        <v>194</v>
      </c>
      <c r="B150" s="72" t="s">
        <v>195</v>
      </c>
      <c r="C150" s="43">
        <v>30380</v>
      </c>
      <c r="D150" s="44"/>
      <c r="E150" s="44"/>
      <c r="F150" s="65"/>
      <c r="G150" s="11"/>
      <c r="H150" s="11"/>
      <c r="I150" s="11"/>
    </row>
    <row r="151" spans="1:9" ht="57.75" customHeight="1">
      <c r="A151" s="71" t="s">
        <v>189</v>
      </c>
      <c r="B151" s="72" t="s">
        <v>190</v>
      </c>
      <c r="C151" s="43">
        <f>-32316.12+9199.97</f>
        <v>-23116.15</v>
      </c>
      <c r="D151" s="73"/>
      <c r="E151" s="73"/>
      <c r="F151" s="65"/>
      <c r="G151" s="11"/>
      <c r="H151" s="11"/>
      <c r="I151" s="11"/>
    </row>
    <row r="152" spans="1:9" ht="57" customHeight="1">
      <c r="A152" s="23"/>
      <c r="B152" s="41" t="s">
        <v>26</v>
      </c>
      <c r="C152" s="47">
        <f>C21+C58</f>
        <v>10943888.4954</v>
      </c>
      <c r="D152" s="47">
        <f>D21+D58</f>
        <v>10306652.51004</v>
      </c>
      <c r="E152" s="47">
        <f>E21+E58</f>
        <v>9819510.589</v>
      </c>
      <c r="F152" s="65"/>
      <c r="G152" s="11"/>
      <c r="H152" s="11"/>
      <c r="I152" s="11"/>
    </row>
    <row r="153" spans="1:6" ht="32.25" customHeight="1">
      <c r="A153" s="82"/>
      <c r="B153" s="82"/>
      <c r="C153" s="82"/>
      <c r="F153" s="50"/>
    </row>
    <row r="154" ht="15.75">
      <c r="F154" s="50"/>
    </row>
    <row r="155" ht="15.75">
      <c r="F155" s="50"/>
    </row>
    <row r="156" spans="3:6" ht="15.75">
      <c r="C156" s="6"/>
      <c r="F156" s="50"/>
    </row>
    <row r="157" spans="3:6" ht="15.75">
      <c r="C157" s="6"/>
      <c r="F157" s="50"/>
    </row>
    <row r="158" ht="15.75">
      <c r="F158" s="50"/>
    </row>
    <row r="159" ht="15.75">
      <c r="F159" s="50"/>
    </row>
    <row r="160" ht="15.75">
      <c r="F160" s="50"/>
    </row>
    <row r="161" ht="15.75">
      <c r="F161" s="50"/>
    </row>
    <row r="162" ht="15.75">
      <c r="F162" s="50"/>
    </row>
    <row r="163" ht="15.75">
      <c r="F163" s="50"/>
    </row>
    <row r="164" ht="15.75">
      <c r="F164" s="50"/>
    </row>
    <row r="165" ht="15.75">
      <c r="F165" s="50"/>
    </row>
    <row r="166" ht="15.75">
      <c r="F166" s="50"/>
    </row>
    <row r="167" ht="15.75">
      <c r="F167" s="50"/>
    </row>
    <row r="168" ht="15.75">
      <c r="F168" s="50"/>
    </row>
    <row r="169" ht="15.75">
      <c r="F169" s="50"/>
    </row>
    <row r="170" ht="15.75">
      <c r="F170" s="50"/>
    </row>
    <row r="171" ht="15.75">
      <c r="F171" s="50"/>
    </row>
    <row r="172" ht="15.75">
      <c r="F172" s="50"/>
    </row>
    <row r="173" ht="15.75">
      <c r="F173" s="50"/>
    </row>
    <row r="174" ht="15.75">
      <c r="F174" s="50"/>
    </row>
    <row r="199" ht="14.25" customHeight="1"/>
    <row r="200" ht="0.75" customHeight="1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2.25" customHeight="1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0.75" customHeight="1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0.75" customHeight="1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0.75" customHeight="1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0.75" customHeight="1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0.75" customHeight="1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2.25" customHeight="1" hidden="1"/>
    <row r="351" ht="15.75" hidden="1"/>
    <row r="352" ht="15.75" hidden="1"/>
    <row r="353" ht="15.75" hidden="1"/>
    <row r="354" ht="15.75" hidden="1"/>
    <row r="355" ht="15.75" hidden="1"/>
    <row r="356" ht="0.75" customHeight="1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0.75" customHeight="1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8" customHeight="1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0.75" customHeight="1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2.25" customHeight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0.75" customHeight="1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</sheetData>
  <sheetProtection/>
  <autoFilter ref="A20:K152"/>
  <mergeCells count="6">
    <mergeCell ref="A16:E16"/>
    <mergeCell ref="D18:E18"/>
    <mergeCell ref="A153:C153"/>
    <mergeCell ref="A18:A19"/>
    <mergeCell ref="B18:B19"/>
    <mergeCell ref="C18:C19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47" r:id="rId1"/>
  <headerFooter alignWithMargins="0">
    <oddHeader>&amp;C&amp;P</oddHeader>
    <oddFooter>&amp;L55/мз</oddFooter>
  </headerFooter>
  <rowBreaks count="6" manualBreakCount="6">
    <brk id="42" max="4" man="1"/>
    <brk id="64" max="4" man="1"/>
    <brk id="78" max="4" man="1"/>
    <brk id="98" max="4" man="1"/>
    <brk id="130" max="4" man="1"/>
    <brk id="1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Ирина А. Чистякова</cp:lastModifiedBy>
  <cp:lastPrinted>2021-09-10T11:41:10Z</cp:lastPrinted>
  <dcterms:created xsi:type="dcterms:W3CDTF">2004-01-05T10:01:36Z</dcterms:created>
  <dcterms:modified xsi:type="dcterms:W3CDTF">2021-09-13T14:29:11Z</dcterms:modified>
  <cp:category/>
  <cp:version/>
  <cp:contentType/>
  <cp:contentStatus/>
</cp:coreProperties>
</file>