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Исп.2 квартал." sheetId="1" r:id="rId1"/>
  </sheets>
  <definedNames>
    <definedName name="Z_3708D406_71C9_49CC_A67A_2D2190B41A82_.wvu.FilterData" localSheetId="0" hidden="1">'Исп.2 квартал.'!$A$13:$K$607</definedName>
    <definedName name="Z_742DD9F2_8A71_4480_AC11_A74320E5619E_.wvu.FilterData" localSheetId="0" hidden="1">'Исп.2 квартал.'!$A$13:$K$607</definedName>
    <definedName name="Z_829AF458_32E9_4EBE_8AEA_C1C6BE533EAE_.wvu.FilterData" localSheetId="0" hidden="1">'Исп.2 квартал.'!$A$13:$K$607</definedName>
    <definedName name="Z_829AF458_32E9_4EBE_8AEA_C1C6BE533EAE_.wvu.PrintArea" localSheetId="0" hidden="1">'Исп.2 квартал.'!$A$1:$F$620</definedName>
    <definedName name="Z_829AF458_32E9_4EBE_8AEA_C1C6BE533EAE_.wvu.PrintTitles" localSheetId="0" hidden="1">'Исп.2 квартал.'!$10:$12</definedName>
    <definedName name="Z_829AF458_32E9_4EBE_8AEA_C1C6BE533EAE_.wvu.Rows" localSheetId="0" hidden="1">'Исп.2 квартал.'!$392:$392</definedName>
    <definedName name="Z_8E538972_DCB6_4DF0_B6A0_1DAF22EE85A5_.wvu.FilterData" localSheetId="0" hidden="1">'Исп.2 квартал.'!$A$13:$K$607</definedName>
    <definedName name="Z_8E538972_DCB6_4DF0_B6A0_1DAF22EE85A5_.wvu.PrintArea" localSheetId="0" hidden="1">'Исп.2 квартал.'!$A$1:$F$620</definedName>
    <definedName name="Z_8E538972_DCB6_4DF0_B6A0_1DAF22EE85A5_.wvu.PrintTitles" localSheetId="0" hidden="1">'Исп.2 квартал.'!$10:$12</definedName>
    <definedName name="Z_8E538972_DCB6_4DF0_B6A0_1DAF22EE85A5_.wvu.Rows" localSheetId="0" hidden="1">'Исп.2 квартал.'!$392:$392</definedName>
    <definedName name="Z_A26D4967_F1CF_4E95_A59C_FC369D6520C7_.wvu.FilterData" localSheetId="0" hidden="1">'Исп.2 квартал.'!$A$13:$K$607</definedName>
    <definedName name="Z_A26D4967_F1CF_4E95_A59C_FC369D6520C7_.wvu.PrintArea" localSheetId="0" hidden="1">'Исп.2 квартал.'!$A$1:$F$620</definedName>
    <definedName name="Z_A26D4967_F1CF_4E95_A59C_FC369D6520C7_.wvu.PrintTitles" localSheetId="0" hidden="1">'Исп.2 квартал.'!$10:$12</definedName>
    <definedName name="Z_A26D4967_F1CF_4E95_A59C_FC369D6520C7_.wvu.Rows" localSheetId="0" hidden="1">'Исп.2 квартал.'!$392:$392</definedName>
    <definedName name="Z_B452F1D7_E242_4E66_AEEE_75884A98B5E4_.wvu.FilterData" localSheetId="0" hidden="1">'Исп.2 квартал.'!$A$13:$K$607</definedName>
    <definedName name="Z_DEEAFF70_302D_4EE4_8D9C_7BB1BBA5AB30_.wvu.FilterData" localSheetId="0" hidden="1">'Исп.2 квартал.'!$A$13:$K$607</definedName>
    <definedName name="_xlnm.Print_Titles" localSheetId="0">'Исп.2 квартал.'!$10:$12</definedName>
    <definedName name="_xlnm.Print_Area" localSheetId="0">'Исп.2 квартал.'!$A$1:$I$608</definedName>
  </definedNames>
  <calcPr fullCalcOnLoad="1"/>
</workbook>
</file>

<file path=xl/comments1.xml><?xml version="1.0" encoding="utf-8"?>
<comments xmlns="http://schemas.openxmlformats.org/spreadsheetml/2006/main">
  <authors>
    <author>NachBO</author>
  </authors>
  <commentList>
    <comment ref="C254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59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55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56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57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58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61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62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60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sharedStrings.xml><?xml version="1.0" encoding="utf-8"?>
<sst xmlns="http://schemas.openxmlformats.org/spreadsheetml/2006/main" count="2303" uniqueCount="504">
  <si>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</si>
  <si>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</si>
  <si>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</si>
  <si>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0020497</t>
  </si>
  <si>
    <t>Долгосрочная целевая 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годы"</t>
  </si>
  <si>
    <t>7950200</t>
  </si>
  <si>
    <t>0020498</t>
  </si>
  <si>
    <t>0804</t>
  </si>
  <si>
    <t>Учреждения культуры и мероприятия в сфере культуры и кинематографии</t>
  </si>
  <si>
    <t>5201010</t>
  </si>
  <si>
    <t>320</t>
  </si>
  <si>
    <t>Социальные выплаты гражданам, кроме публичных нормативных социальных выплат</t>
  </si>
  <si>
    <t xml:space="preserve">Другие расходы на обеспечение деятельности дворцов и домов культуры, других учреждений культуры </t>
  </si>
  <si>
    <t>Мероприятия в сфере культуры и кинематографии</t>
  </si>
  <si>
    <t>4400100</t>
  </si>
  <si>
    <t>4310100</t>
  </si>
  <si>
    <t>Субсидии некоммерческим организациям</t>
  </si>
  <si>
    <t>Стационарная медицинская помощь</t>
  </si>
  <si>
    <t>870</t>
  </si>
  <si>
    <t>Резервные средства</t>
  </si>
  <si>
    <t>Амбулаторная помощь</t>
  </si>
  <si>
    <t>0906</t>
  </si>
  <si>
    <t>Скорая медицинская помощь</t>
  </si>
  <si>
    <t>244</t>
  </si>
  <si>
    <t>Прочая закупка товаров, работ и услуг для муниципальных нужд</t>
  </si>
  <si>
    <t>Субсидии бюджетным учреждениям</t>
  </si>
  <si>
    <t>Долгосрочная целевая программа муниципального образования "Сергиево-Посадский муниципальный район Московской области  "Ликвидация очередности в дошкольные образовательные учреждения Сергиево-Посадского муниципального района на 2012-2014 годы"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</si>
  <si>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</si>
  <si>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</si>
  <si>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</si>
  <si>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</si>
  <si>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</si>
  <si>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</si>
  <si>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</si>
  <si>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</si>
  <si>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</si>
  <si>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</si>
  <si>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Охрана семьи и детства</t>
  </si>
  <si>
    <t>Телерадиокомпании и телеорганизации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</si>
  <si>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</si>
  <si>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</si>
  <si>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</si>
  <si>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</si>
  <si>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</si>
  <si>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</si>
  <si>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</si>
  <si>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</si>
  <si>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</si>
  <si>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</si>
  <si>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</si>
  <si>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Прочие межбюджетные трансферты  общего характера</t>
  </si>
  <si>
    <t>Доплаты к пенсиям государственных служащих субъектов Российской Федерации и муниципальных служащих</t>
  </si>
  <si>
    <t>Центры спортивной подготовки ( сборные команды)</t>
  </si>
  <si>
    <t>0020491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</si>
  <si>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</si>
  <si>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</si>
  <si>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</si>
  <si>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4239999</t>
  </si>
  <si>
    <t>Другие расходы на содержание учреждений по  работе с молодежью</t>
  </si>
  <si>
    <t>4529999</t>
  </si>
  <si>
    <t>Другие расходы на обеспечение деятельности центров спортивной подготовки (сборных команд)</t>
  </si>
  <si>
    <t>4829999</t>
  </si>
  <si>
    <t>0930000</t>
  </si>
  <si>
    <t>0939900</t>
  </si>
  <si>
    <t>Другие расходы на содержание  учреждений по обеспечению хозяйственного обслуживания</t>
  </si>
  <si>
    <t>0939999</t>
  </si>
  <si>
    <t>0920301</t>
  </si>
  <si>
    <t>Субвенция для организации выплат компенсации части родительской платы</t>
  </si>
  <si>
    <t>Подготовка муниципальных объектов недвижимости к приватизации и продаже права аренды</t>
  </si>
  <si>
    <t>Мероприятия по землеустройству и землепользованию</t>
  </si>
  <si>
    <t>3400300</t>
  </si>
  <si>
    <t>4319900</t>
  </si>
  <si>
    <t>4319999</t>
  </si>
  <si>
    <t>7950020</t>
  </si>
  <si>
    <t>7950030</t>
  </si>
  <si>
    <t>7950060</t>
  </si>
  <si>
    <t>7950040</t>
  </si>
  <si>
    <t>Создание условий для здорового образа жизни</t>
  </si>
  <si>
    <t>7950042</t>
  </si>
  <si>
    <t>Руководитель контрольно-счетной палаты муниципального образования и его заместители</t>
  </si>
  <si>
    <t>0022500</t>
  </si>
  <si>
    <t>7950080</t>
  </si>
  <si>
    <t>7950090</t>
  </si>
  <si>
    <t>Субсидии периодическим изданиям</t>
  </si>
  <si>
    <t>4570200</t>
  </si>
  <si>
    <t>Реализация государственных функций в области национальной экономики</t>
  </si>
  <si>
    <t>0900259</t>
  </si>
  <si>
    <t>Оценка недвижимости, признание прав и регулирование отношений по муниципальной собственности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</si>
  <si>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</si>
  <si>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</si>
  <si>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</si>
  <si>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Проведение массовых и общественных мероприятий</t>
  </si>
  <si>
    <t>0020599</t>
  </si>
  <si>
    <t>Другие расходы на содержание школ-детских садов, школ начальных, неполных средних и средних, обеспечение и организация учебного процесса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</si>
  <si>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</si>
  <si>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</si>
  <si>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</si>
  <si>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Долгосрочная целевая программа Сергиево-Посадского муниципального района "Совершенствование организации питания обучающихся муниципальных общеобразовательных учреждений на 2012-2014 годы"</t>
  </si>
  <si>
    <t>Другие вопросы в области национальной безопасности и правоохранительной деятельности</t>
  </si>
  <si>
    <t>0314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</si>
  <si>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</si>
  <si>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</si>
  <si>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</si>
  <si>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</si>
  <si>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</si>
  <si>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</si>
  <si>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</si>
  <si>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</si>
  <si>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</si>
  <si>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</si>
  <si>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0113</t>
  </si>
  <si>
    <t>Культура, кинематография</t>
  </si>
  <si>
    <t>Здравоохранение</t>
  </si>
  <si>
    <t>0909</t>
  </si>
  <si>
    <t>4429999</t>
  </si>
  <si>
    <t>4409999</t>
  </si>
  <si>
    <t>4219999</t>
  </si>
  <si>
    <t>710</t>
  </si>
  <si>
    <t>Обслуживание муниципального долга</t>
  </si>
  <si>
    <t>5053402</t>
  </si>
  <si>
    <t>Федеральные целевые программы</t>
  </si>
  <si>
    <t>1000000</t>
  </si>
  <si>
    <t>Региональные целевые программы</t>
  </si>
  <si>
    <t>5220000</t>
  </si>
  <si>
    <t>5220300</t>
  </si>
  <si>
    <t>Иные выплаты персоналу, за исключением фонда оплаты труда</t>
  </si>
  <si>
    <t>242</t>
  </si>
  <si>
    <t>Закупка товаров, работ и услуг в сфере информационно-коммуникационных технологий</t>
  </si>
  <si>
    <t>1100</t>
  </si>
  <si>
    <t>4500602</t>
  </si>
  <si>
    <t>Мероприятия в области строительства, архитектуры и градостроительства</t>
  </si>
  <si>
    <t>3380000</t>
  </si>
  <si>
    <t>5053401</t>
  </si>
  <si>
    <t>7950100</t>
  </si>
  <si>
    <t xml:space="preserve">Субвенция на реализацию государственных полномочий по обеспечению жилыми помещениями военнослужащих </t>
  </si>
  <si>
    <t>1008811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</si>
  <si>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2012-2014 годы"</t>
  </si>
  <si>
    <t>7950075</t>
  </si>
  <si>
    <t>Муниципальная целевая программа "Обеспечение жильем молодых семей в Сергиево-Посадском муниципальном районе Московской области на 2012-2015 годы"</t>
  </si>
  <si>
    <t>360</t>
  </si>
  <si>
    <t>Иные выплаты населению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</si>
  <si>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</si>
  <si>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</si>
  <si>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</si>
  <si>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5052112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</si>
  <si>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местного бюджета</t>
  </si>
  <si>
    <t>612</t>
  </si>
  <si>
    <t>Субсидии бюджетным учреждениям на иные цели</t>
  </si>
  <si>
    <t>0929900</t>
  </si>
  <si>
    <t>0929999</t>
  </si>
  <si>
    <t>Другие расходы на содержание  учреждений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</si>
  <si>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</si>
  <si>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</si>
  <si>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</si>
  <si>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</si>
  <si>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</si>
  <si>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</si>
  <si>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</si>
  <si>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</si>
  <si>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</si>
  <si>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</si>
  <si>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</si>
  <si>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</si>
  <si>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</si>
  <si>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</si>
  <si>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</si>
  <si>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</si>
  <si>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</si>
  <si>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</si>
  <si>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</si>
  <si>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</si>
  <si>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</si>
  <si>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</si>
  <si>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</si>
  <si>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</si>
  <si>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</si>
  <si>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</si>
  <si>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</si>
  <si>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</si>
  <si>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</si>
  <si>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</si>
  <si>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</si>
  <si>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</si>
  <si>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</si>
  <si>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</si>
  <si>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</si>
  <si>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</si>
  <si>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</si>
  <si>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</si>
  <si>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</si>
  <si>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</si>
  <si>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</si>
  <si>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</si>
  <si>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</si>
  <si>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</si>
  <si>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</si>
  <si>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</si>
  <si>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</si>
  <si>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</si>
  <si>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</si>
  <si>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Детские дошкольные учреждения</t>
  </si>
  <si>
    <t>0702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</si>
  <si>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</si>
  <si>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</si>
  <si>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</si>
  <si>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</si>
  <si>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</si>
  <si>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</si>
  <si>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</si>
  <si>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</si>
  <si>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</si>
  <si>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</si>
  <si>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</si>
  <si>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</si>
  <si>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4400000</t>
  </si>
  <si>
    <t>4420000</t>
  </si>
  <si>
    <t>4530000</t>
  </si>
  <si>
    <t>4570000</t>
  </si>
  <si>
    <t>0901</t>
  </si>
  <si>
    <t>4690000</t>
  </si>
  <si>
    <t>4700000</t>
  </si>
  <si>
    <t>4710000</t>
  </si>
  <si>
    <t>121</t>
  </si>
  <si>
    <t>122</t>
  </si>
  <si>
    <t>Фонд оплаты труда и страховые взносы</t>
  </si>
  <si>
    <t>Больницы, клиники, госпитали, медико-санитарные части</t>
  </si>
  <si>
    <t>4720000</t>
  </si>
  <si>
    <t>4770000</t>
  </si>
  <si>
    <t>0902</t>
  </si>
  <si>
    <t>4820000</t>
  </si>
  <si>
    <t>0904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</si>
  <si>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</si>
  <si>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</si>
  <si>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</si>
  <si>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</si>
  <si>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</si>
  <si>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</si>
  <si>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5050000</t>
  </si>
  <si>
    <t>Общегосударственные вопросы</t>
  </si>
  <si>
    <t>Другие общегосударственные вопросы</t>
  </si>
  <si>
    <t>Межбюджетные трансферты,передаваемые из бюджета Сергиево-Посадского муниципального района в рамках софинансирования на строительство детского дошкольного учреждения в городском поселении Хотьково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</si>
  <si>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</si>
  <si>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</si>
  <si>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</si>
  <si>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</si>
  <si>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</si>
  <si>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0200</t>
  </si>
  <si>
    <t>621</t>
  </si>
  <si>
    <t>Субсидии автономным учреждениям на финансовое обеспечение муниципального задания на оказание муниципальных услуг</t>
  </si>
  <si>
    <t>611</t>
  </si>
  <si>
    <t>Субсидии бюджетным учреждениям на финансовое обеспечение муниципального задания на оказание муниципальных услуг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</si>
  <si>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</si>
  <si>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</si>
  <si>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</si>
  <si>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</si>
  <si>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0408</t>
  </si>
  <si>
    <t>Иные безвозмездные и безвозвратные перечисления</t>
  </si>
  <si>
    <t>5200000</t>
  </si>
  <si>
    <t>Проведение мероприятий для детей и молодежи</t>
  </si>
  <si>
    <t>0102</t>
  </si>
  <si>
    <t>Глава муниципального образования</t>
  </si>
  <si>
    <t>в том числе за счет субвенции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</si>
  <si>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</si>
  <si>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</si>
  <si>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</si>
  <si>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0111</t>
  </si>
  <si>
    <t>0204</t>
  </si>
  <si>
    <t>2090100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</si>
  <si>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</si>
  <si>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</si>
  <si>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</si>
  <si>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</si>
  <si>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</si>
  <si>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0412</t>
  </si>
  <si>
    <t>Отдельные мероприятия в области автомобильного транспорта</t>
  </si>
  <si>
    <t>0505</t>
  </si>
  <si>
    <t>4530100</t>
  </si>
  <si>
    <t>Субсидии терерадиокомпаниям и телерадиоорганизациям</t>
  </si>
  <si>
    <t>0605</t>
  </si>
  <si>
    <t>Другие расходы на содержание детских дошкольных учреждений</t>
  </si>
  <si>
    <t>4219900</t>
  </si>
  <si>
    <t>4409900</t>
  </si>
  <si>
    <t>4429900</t>
  </si>
  <si>
    <t>Другие расходы на обеспечение деятельности библиотек</t>
  </si>
  <si>
    <t>4529900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</si>
  <si>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</si>
  <si>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</si>
  <si>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</si>
  <si>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</si>
  <si>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</si>
  <si>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4239900</t>
  </si>
  <si>
    <t>Другие расходы на содержание учреждений по внешкольной работе с детьми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</si>
  <si>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</si>
  <si>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</si>
  <si>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</si>
  <si>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</si>
  <si>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</si>
  <si>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</si>
  <si>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1403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</si>
  <si>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</si>
  <si>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</si>
  <si>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</si>
  <si>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</si>
  <si>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>5160000</t>
  </si>
  <si>
    <t>Выравнивание бюджетной обеспеченности</t>
  </si>
  <si>
    <t>5170000</t>
  </si>
  <si>
    <t xml:space="preserve">Дотации </t>
  </si>
  <si>
    <t>3030200</t>
  </si>
  <si>
    <t>111</t>
  </si>
  <si>
    <t>Уплата налога на имущество организаций и земельного налога</t>
  </si>
  <si>
    <t>Уплата прочих налогов, сборов и иных платежей</t>
  </si>
  <si>
    <t>Субвенция на финансирование штатной численности работников, обеспечивающих деятельность комиссий по делам несовершеннолетних и защите их прав</t>
  </si>
  <si>
    <t>Субвенция на обеспечение полномочий по хранению и комплектованию архивных дел, относящихся к собственности Московской области</t>
  </si>
  <si>
    <t>851</t>
  </si>
  <si>
    <t>852</t>
  </si>
  <si>
    <t>Закупка товаров, работ и услуг в целях капитального ремонта муниципального имущества</t>
  </si>
  <si>
    <t>243</t>
  </si>
  <si>
    <t>Обеспечение жилыми помещениями  отдельных категорий ветеранов, предусмотренных частью 2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</si>
  <si>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</si>
  <si>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обеспечение предоставления гражданам субсидий на оплату жилого помещения и коммунальных услуг</t>
  </si>
  <si>
    <t>Субвенция на обеспечение 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</si>
  <si>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</si>
  <si>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Субвенция на проезд к месту учебы и обратно отдельным категориям обучающихся в муниципальных образовательных учреждениях</t>
  </si>
  <si>
    <t>Субвенция по финансовой поддержке негосударственных общеобразовательных учреждений в МО в части расходов на оплату труда работников негосударственных общеобразовательных учреждений , расходов на учебники и учебные пособия, технические средства обучения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</si>
  <si>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</si>
  <si>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пожарами, на 2013 год</t>
  </si>
  <si>
    <t>0107</t>
  </si>
  <si>
    <t>Обеспечение проведение выборов и референдумов</t>
  </si>
  <si>
    <t>Проведение выборов и референдумов</t>
  </si>
  <si>
    <t>Субсидия бюджетам муниципальных образований Московской области на использование и эксплуатацию комплексов обработки избирательных бюллетеней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</si>
  <si>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2013-2015 годы"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</si>
  <si>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2013-2015 годы"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</si>
  <si>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2013-2015 годы"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</si>
  <si>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2013 -2015 годы"</t>
  </si>
  <si>
    <t>Центральный аппарат (технические служащие)</t>
  </si>
  <si>
    <t>Центральный аппарат (муниципальные служащие)</t>
  </si>
  <si>
    <t>Субвенция 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</t>
  </si>
  <si>
    <t xml:space="preserve">Субвенция на обеспечение полноценным питанием беременных женщин, кормящих матерей, а также детей в возрасте до трех лет </t>
  </si>
  <si>
    <t>Долгосрочная целевая программа Сергиево-Посадского муниципального района "Профилактика наркомании, токсикомании и алкоголизма  на территории Сергиево-Посадского муниципального района на 2012-2014 годы"</t>
  </si>
  <si>
    <t>7950400</t>
  </si>
  <si>
    <t>7950500</t>
  </si>
  <si>
    <t>Долгосрочная целевая программа Сергиево-Посадского муниципального района "Профилактика экстремизма и терроризма  на территории Сергиево-Посадского муниципального района на 2012-2014 годы"</t>
  </si>
  <si>
    <t>Долгосрочная целевая программа Сергиево-Посадского муниципального района "Развитие туризма  в Сергиево-Посадском муниципальном районе на 2013-2016 годы"</t>
  </si>
  <si>
    <t>7950600</t>
  </si>
  <si>
    <t>Долгосрочная целевая программа Сергиево-Посадского муниципального района "Развитие системы отдыха и оздоровления детей в Сергиево-Посадском муниципальном районе на 2012-2015 годы"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</si>
  <si>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2013-2015 годы"</t>
  </si>
  <si>
    <t>322</t>
  </si>
  <si>
    <t>Субсидия гражданам на приобретение жилья</t>
  </si>
  <si>
    <t>5050001</t>
  </si>
  <si>
    <t>323</t>
  </si>
  <si>
    <t>Приобретение товаров, работ, услуг в пользу граждан</t>
  </si>
  <si>
    <t>Прочая закупка  услуг для муниципальных нужд</t>
  </si>
  <si>
    <t>4219991</t>
  </si>
  <si>
    <t>0939991</t>
  </si>
  <si>
    <t>112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</si>
  <si>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образовательных учреждениях высшего профессион</t>
  </si>
  <si>
    <t>Выполнение функций казенными учреждениями</t>
  </si>
  <si>
    <t>Коммунальное хозяйство</t>
  </si>
  <si>
    <t>0502</t>
  </si>
  <si>
    <t>Долгосрочная целевая программа Сергиево-Посадского муниципального района "Газификация сельских населенных пунктов Сергиево-Посадского муниципального района Московской области на 2010-2014 годы"</t>
  </si>
  <si>
    <t>7950700</t>
  </si>
  <si>
    <t>5246400</t>
  </si>
  <si>
    <t>5220664</t>
  </si>
  <si>
    <t>5221908</t>
  </si>
  <si>
    <t xml:space="preserve">Содержание и обеспечение деятельности больниц,клиник,госпиталей,медико-санитарных частей      ( прочие расходы) </t>
  </si>
  <si>
    <t>4701011</t>
  </si>
  <si>
    <t>4702011</t>
  </si>
  <si>
    <t>4703011</t>
  </si>
  <si>
    <t xml:space="preserve">Содержание и обеспечение деятельности больниц,клиник,госпиталей,медико-санитарных частей      ( оказание муниципальных услуг) </t>
  </si>
  <si>
    <t>4711011</t>
  </si>
  <si>
    <t>4712011</t>
  </si>
  <si>
    <t>4713011</t>
  </si>
  <si>
    <t>Содержание и обеспечение деятельности  станций скорой и неотложной медицинской помощи  (оказание муниципальных услуг )</t>
  </si>
  <si>
    <t>4771011</t>
  </si>
  <si>
    <t>Содержание и обеспечение деятельности  станций скорой и неотложной медицинской помощи ( содержание имущества, необходимого на оказания муниципальных услуг )</t>
  </si>
  <si>
    <t>4772011</t>
  </si>
  <si>
    <t>Содержание и обеспечение деятельности  станций скорой и неотложной медицинской помощи ( прочие расходы)</t>
  </si>
  <si>
    <t>4773011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</si>
  <si>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</si>
  <si>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>4691011</t>
  </si>
  <si>
    <t xml:space="preserve">Содержание и обеспечение деятельности учреждений, обеспечивающих предоставление услуг в сфере здравоохранения (содержание имущества, необходимого для оказания муниципальных услуг) </t>
  </si>
  <si>
    <t>4692011</t>
  </si>
  <si>
    <t>5057424</t>
  </si>
  <si>
    <t>5234801</t>
  </si>
  <si>
    <t>5234802</t>
  </si>
  <si>
    <t>5234800</t>
  </si>
  <si>
    <t>Организация предоставления гражданам субсидий на оплату жилого помещения и коммунальных услуг</t>
  </si>
  <si>
    <t>Субвенция на финансовое обеспечение содержания детей (присмотр и уход за детьми) в негосударственных дошкольных образовательных учреждениях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</si>
  <si>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</si>
  <si>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4210200</t>
  </si>
  <si>
    <t>4217121</t>
  </si>
  <si>
    <t>4217222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</si>
  <si>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детских домах</t>
  </si>
  <si>
    <t>4220000</t>
  </si>
  <si>
    <t>Школы-интернаты</t>
  </si>
  <si>
    <t>4227020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</si>
  <si>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школах-интернатах</t>
  </si>
  <si>
    <t>4527424</t>
  </si>
  <si>
    <t>Субвенция для организации выплат компенсации родительской платы</t>
  </si>
  <si>
    <t>4210300</t>
  </si>
  <si>
    <t>7950800</t>
  </si>
  <si>
    <t>Долгосрочная целевая программа Сергиево-Посадского муниципального района "Молодое поколение Сергиево-Посадского муниципального района  на 2011-2013 годы"</t>
  </si>
  <si>
    <t xml:space="preserve">Содержание и обеспечение деятельности поликлинник, амбулаторий, диагностических центров  (оказания муниципальных услуг) </t>
  </si>
  <si>
    <t xml:space="preserve">Содержание и обеспечение деятельности поликлинник, амбулаторий, диагностических центров  (содержание имущества, необходимого на оказание муниципальных услуг)  </t>
  </si>
  <si>
    <t xml:space="preserve">Содержание и обеспечение деятельности поликлинник, амбулаторий, диагностических центров  (прочие расходы) </t>
  </si>
  <si>
    <t>Учреждения, обеспечивающие предоставление услуг в сфере здравоохранения ( "ЦМП")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</si>
  <si>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и регулирования рынков сельскохозяйственной продукции, сырья и продовольствия в Московской области на 2013-2020 годы"</t>
  </si>
  <si>
    <t>5220352</t>
  </si>
  <si>
    <t>Обеспечение жильем молодых семей и молодых специалистов, проживающих и работающих в сельской местности</t>
  </si>
  <si>
    <t>5220355</t>
  </si>
  <si>
    <t>Улучшение жилищных условий граждан Российской Федерации, проживающих  в сельской местности</t>
  </si>
  <si>
    <t>5204200</t>
  </si>
  <si>
    <t>0020405</t>
  </si>
  <si>
    <t>Центральный аппарат (обеспечение полномочий в сфере здравоохранения)</t>
  </si>
  <si>
    <t>4722011</t>
  </si>
  <si>
    <t>4723011</t>
  </si>
  <si>
    <t>Расходы на содержание и обеспечение деятельности центров, станций и отделений переливания крови                  ( содержание имущества, необходимого на оказания муниципальных услуг )</t>
  </si>
  <si>
    <t>Расходы на содержание и обеспечение деятельности центров, станций и отделений переливания крови ( прочие расходы)</t>
  </si>
  <si>
    <t xml:space="preserve">Содержание и обеспечение деятельности больниц,клиник,госпиталей,медико-санитарных частей           ( оказание муниципальных услуг) </t>
  </si>
  <si>
    <t xml:space="preserve">Содержание и обеспечение деятельности больниц,клиник,госпиталей,медико-санитарных частей            ( содержание имущества, необходимого на оказание муниципальных услуг) </t>
  </si>
  <si>
    <t xml:space="preserve">Содержание и обеспечение деятельности больниц,клиник,госпиталей,медико-санитарных частей          ( содержание имущества, необходимого на оказание муниципальных услуг) </t>
  </si>
  <si>
    <t xml:space="preserve">Содержание и обеспечение деятельности больниц,клиник,госпиталей,медико-санитарных частей           ( прочие расходы) </t>
  </si>
  <si>
    <t>Обеспечение жилыми помещениями  отдельных категорий ветеранов, предусмотренных частью 1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 инвалидов</t>
  </si>
  <si>
    <t>Обеспечение мер социальной поддержки  детей-инвалидов, страдающих детским церебральным параличом и инвалидов</t>
  </si>
  <si>
    <t>Приложение № 2</t>
  </si>
  <si>
    <t>540</t>
  </si>
  <si>
    <t>Иные межбюджетные трансферты</t>
  </si>
  <si>
    <t>Субсидия  на внедрение современных образовательных технологий</t>
  </si>
  <si>
    <t xml:space="preserve">Субсидия на  обеспечение дополнительными местами в муниципальных дошкольных образовательных учреждениях в соответствии с долгосрочной целевой программой Московской области "Развитие  дошкольного образования в Московской области в  2012-2014 годах" </t>
  </si>
  <si>
    <t>Обеспечение дополнительными местами в муниципальных дошкольных образовательных учреждениях</t>
  </si>
  <si>
    <t>Реализация мероприятий по созданию новых мест в негосударственных  дошкольных образовательных учреждениях</t>
  </si>
  <si>
    <t>440</t>
  </si>
  <si>
    <t>Бюджетные инвестиции на приобретение объектов недвижимого имущества</t>
  </si>
  <si>
    <t>Федеральная целевая программа "Жилище" на  2011-2015  года"</t>
  </si>
  <si>
    <t>1008800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</si>
  <si>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</si>
  <si>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1008820</t>
  </si>
  <si>
    <t>5221500</t>
  </si>
  <si>
    <t>Долгосрочная целевая программа Московской области "Жилище" на 2013-2015 годы"</t>
  </si>
  <si>
    <t xml:space="preserve">Субсидия на реализацию подпрограммы "Обеспечение жильем молодых семей" долгосрочной  целевой программы "Жилище" на 2013-2015 годы </t>
  </si>
  <si>
    <t>5221501</t>
  </si>
  <si>
    <t>831</t>
  </si>
  <si>
    <t>Исполнение судебных актов РФ и мировых соглашений по возмещению вреда</t>
  </si>
  <si>
    <t>Долгосрочная целевая программа Московской области "Развитие образования в Московской области на 2013-2015 годы"</t>
  </si>
  <si>
    <t>Субсидия на проектирование детских дошкольных учреждений с бассейном</t>
  </si>
  <si>
    <t>410</t>
  </si>
  <si>
    <t>Бюджетные инвестиции в объекты муниципальной собственности</t>
  </si>
  <si>
    <t>Субсидия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</si>
  <si>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Субсидия на приобретение автобусов для доставки обучающихся в общеобразовательные учреждения, расположенные в сельской местности</t>
  </si>
  <si>
    <t>Субсидия на обеспечение дополнительными местами в муниципальных дошкольных образовательных учреждениях</t>
  </si>
  <si>
    <t>Субсидия на проектирование и строительство объектов дошкольного образования</t>
  </si>
  <si>
    <t>Субсидия на 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</si>
  <si>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5242000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</si>
  <si>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</si>
  <si>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2013-2016 годы"</t>
  </si>
  <si>
    <t xml:space="preserve">Субсидия по обеспечению жильем молодых семей и молодых специалистов, проживающих в сельской местности </t>
  </si>
  <si>
    <t>Субсидия на проведение капитального, текущего ремонта, ремонта ограждений, ремонта кровель, замену оконных конструкций, выполнение противопожарных мероприятий в муниципальных общеобразовательных учреждениях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</si>
  <si>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учреждений</t>
  </si>
  <si>
    <t>5223200</t>
  </si>
  <si>
    <t>5223204</t>
  </si>
  <si>
    <t>Мероприятия по организации отдыха детей в каникулярное время</t>
  </si>
  <si>
    <t>Субсидия на мероприятия по организации отдыха детей в каникулярное время в соответствии с долгосрочной целевой программой МО "Развитие системы отдыха и оздоровления детей в МО в 2012-2015 годах"</t>
  </si>
  <si>
    <t>5220462</t>
  </si>
  <si>
    <t>5220461</t>
  </si>
  <si>
    <t>5052102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</si>
  <si>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</si>
  <si>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Субсидия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</si>
  <si>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5223607</t>
  </si>
  <si>
    <t>Долгосрочная целевая программа Московской области "Развитие здравоохранения  Московской области на 2013-2015 годы"</t>
  </si>
  <si>
    <t>Субсидия на мероприятия по приобретению медицинского оборудования</t>
  </si>
  <si>
    <t>Совершенствование системы оказания медицинской помощи больным сосудистыми заболеваниями</t>
  </si>
  <si>
    <t>5260000</t>
  </si>
  <si>
    <t>5260337</t>
  </si>
  <si>
    <t>5260401</t>
  </si>
  <si>
    <t>Раздел 3 "Развитие системы качественной доступной медицинской помощи"</t>
  </si>
  <si>
    <t>5260300</t>
  </si>
  <si>
    <t>5260400</t>
  </si>
  <si>
    <t>Раздел 4 "Укрепление материально-технической базы учреждений здравоохранения Московской области"</t>
  </si>
  <si>
    <t>Субсидия на мероприятия по проведению капитального ремонта на 2013 год</t>
  </si>
  <si>
    <t>Иные межбюджетные трансферты на финансирование дополнительных мероприятий по развитию жилищно-коммунального хозяйства и социально-культурной сферы</t>
  </si>
  <si>
    <t>7950025</t>
  </si>
  <si>
    <t>Субсидия телекомпании ООО "Культурно-коммерческая фирма "Тонус"на организацию и проведение XYII открытого фестиваля телекомпаний Подмосковья "Братина" в рамках долгосрочной целевой программы Сергиево-Посадского муниципального района "Развитие культуры в Сергиево-Посадском муниципальном районе на 2013-2015 годы"</t>
  </si>
  <si>
    <t>4709999</t>
  </si>
  <si>
    <t>Другие расходы на содержание и обеспечение деятельности больниц, клиник, госпиталей, медико-санитарных частей</t>
  </si>
  <si>
    <t>4729999</t>
  </si>
  <si>
    <t>Другие расходы на содержание и обеспечение деятельности центров, станций и отделений переливания крови</t>
  </si>
  <si>
    <t>4719999</t>
  </si>
  <si>
    <t>Другие расходы на содержание и обеспечение деятельности поликлиник, амбулаторий, диагностических  центров</t>
  </si>
  <si>
    <t>622</t>
  </si>
  <si>
    <t>Субсидии автономным учреждениям на иные цели</t>
  </si>
  <si>
    <t>4779999</t>
  </si>
  <si>
    <t>Другие расходы на содержание и обеспечение деятельности станций скорой помощи</t>
  </si>
  <si>
    <t>Долгосрочная целевая программа  "Развитие здравоохранения  Сергиево-Посадского муниципального района на 2013-2015 годы"</t>
  </si>
  <si>
    <t>7950050</t>
  </si>
  <si>
    <t>7950055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</si>
  <si>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</si>
  <si>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</si>
  <si>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к постановлению Главы</t>
  </si>
  <si>
    <t>Исполнено ВСЕГО</t>
  </si>
  <si>
    <t>% исполнения</t>
  </si>
  <si>
    <t>0920400</t>
  </si>
  <si>
    <t>5221504</t>
  </si>
  <si>
    <t>Исполнение бюджета Сергиево-Посадского муниципального района  по расходам за I полугодие  2013 г</t>
  </si>
  <si>
    <t>от_01.08.2013_№ 1629-ПГ__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</si>
</sst>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13" xfId="0" applyBorder="1" applyAlignment="1">
      <alignment horizontal="left" wrapText="1"/>
    </xf>
    <xf numFmtId="49" fontId="0" fillId="0" borderId="14" xfId="0" applyNumberFormat="1" applyBorder="1" applyAlignment="1">
      <alignment wrapText="1"/>
    </xf>
    <xf numFmtId="0" fontId="0" fillId="0" borderId="13" xfId="0" applyFon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15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64" fontId="0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3" fillId="0" borderId="13" xfId="0" applyNumberFormat="1" applyFont="1" applyBorder="1" applyAlignment="1">
      <alignment wrapText="1"/>
    </xf>
    <xf numFmtId="166" fontId="0" fillId="0" borderId="10" xfId="0" applyNumberFormat="1" applyFont="1" applyBorder="1" applyAlignment="1">
      <alignment wrapText="1"/>
    </xf>
    <xf numFmtId="166" fontId="0" fillId="0" borderId="1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166" fontId="0" fillId="0" borderId="12" xfId="0" applyNumberFormat="1" applyBorder="1" applyAlignment="1">
      <alignment wrapText="1"/>
    </xf>
    <xf numFmtId="166" fontId="0" fillId="0" borderId="11" xfId="0" applyNumberFormat="1" applyBorder="1" applyAlignment="1">
      <alignment wrapText="1"/>
    </xf>
    <xf numFmtId="166" fontId="0" fillId="0" borderId="12" xfId="0" applyNumberFormat="1" applyFont="1" applyBorder="1" applyAlignment="1">
      <alignment wrapText="1"/>
    </xf>
    <xf numFmtId="0" fontId="0" fillId="0" borderId="13" xfId="0" applyNumberForma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33" borderId="0" xfId="0" applyFill="1" applyAlignment="1">
      <alignment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166" fontId="0" fillId="0" borderId="12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66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49" fontId="0" fillId="0" borderId="11" xfId="0" applyNumberFormat="1" applyFill="1" applyBorder="1" applyAlignment="1">
      <alignment horizontal="center" wrapText="1"/>
    </xf>
    <xf numFmtId="49" fontId="2" fillId="0" borderId="13" xfId="0" applyNumberFormat="1" applyFont="1" applyBorder="1" applyAlignment="1">
      <alignment vertical="center" wrapText="1"/>
    </xf>
    <xf numFmtId="167" fontId="0" fillId="0" borderId="13" xfId="0" applyNumberForma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166" fontId="11" fillId="0" borderId="12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vertical="center" wrapText="1"/>
    </xf>
    <xf numFmtId="166" fontId="11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66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166" fontId="11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9" fontId="11" fillId="0" borderId="14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66" fontId="11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 wrapText="1"/>
    </xf>
    <xf numFmtId="166" fontId="0" fillId="0" borderId="12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49" fontId="0" fillId="0" borderId="13" xfId="0" applyNumberFormat="1" applyBorder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66" fontId="0" fillId="0" borderId="12" xfId="0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66" fontId="2" fillId="0" borderId="12" xfId="0" applyNumberFormat="1" applyFont="1" applyBorder="1" applyAlignment="1">
      <alignment wrapText="1"/>
    </xf>
    <xf numFmtId="49" fontId="0" fillId="0" borderId="13" xfId="0" applyNumberFormat="1" applyFill="1" applyBorder="1" applyAlignment="1">
      <alignment horizontal="left" wrapText="1"/>
    </xf>
    <xf numFmtId="0" fontId="1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6" fontId="13" fillId="0" borderId="10" xfId="0" applyNumberFormat="1" applyFont="1" applyBorder="1" applyAlignment="1">
      <alignment wrapText="1"/>
    </xf>
    <xf numFmtId="166" fontId="11" fillId="0" borderId="10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679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51.375" style="0" customWidth="1"/>
    <col min="2" max="2" width="11.25390625" style="0" customWidth="1"/>
    <col min="5" max="5" width="14.00390625" style="0" customWidth="1"/>
    <col min="6" max="6" width="12.625" style="0" customWidth="1"/>
    <col min="7" max="8" width="12.375" style="0" customWidth="1"/>
    <col min="9" max="9" width="8.375" style="0" customWidth="1"/>
  </cols>
  <sheetData>
    <row r="1" spans="5:8" ht="15.75">
      <c r="E1" s="59"/>
      <c r="F1" s="60"/>
      <c r="G1" s="59" t="s">
        <v>424</v>
      </c>
      <c r="H1" s="60"/>
    </row>
    <row r="2" spans="5:8" ht="15.75">
      <c r="E2" s="59"/>
      <c r="F2" s="60"/>
      <c r="G2" s="59" t="s">
        <v>497</v>
      </c>
      <c r="H2" s="60"/>
    </row>
    <row r="3" spans="5:8" ht="15.75">
      <c r="E3" s="59"/>
      <c r="F3" s="60"/>
      <c r="G3" s="59" t="s">
        <v>299</v>
      </c>
      <c r="H3" s="60"/>
    </row>
    <row r="4" spans="5:8" ht="15.75">
      <c r="E4" s="59"/>
      <c r="F4" s="60"/>
      <c r="G4" s="59" t="s">
        <v>300</v>
      </c>
      <c r="H4" s="60"/>
    </row>
    <row r="5" spans="5:8" ht="15.75">
      <c r="E5" s="59"/>
      <c r="F5" s="60"/>
      <c r="G5" s="59" t="s">
        <v>0</v>
      </c>
      <c r="H5" s="60"/>
    </row>
    <row r="6" spans="5:8" ht="15.75">
      <c r="E6" s="59"/>
      <c r="F6" s="60"/>
      <c r="G6" s="59" t="s">
        <v>503</v>
      </c>
      <c r="H6" s="60"/>
    </row>
    <row r="7" spans="5:8" ht="15.75">
      <c r="E7" s="59"/>
      <c r="F7" s="60"/>
      <c r="G7" s="59"/>
      <c r="H7" s="60"/>
    </row>
    <row r="8" spans="5:6" ht="15.75">
      <c r="E8" s="59"/>
      <c r="F8" s="60"/>
    </row>
    <row r="9" spans="1:9" ht="16.5" customHeight="1">
      <c r="A9" s="116" t="s">
        <v>502</v>
      </c>
      <c r="B9" s="116"/>
      <c r="C9" s="116"/>
      <c r="D9" s="116"/>
      <c r="E9" s="116"/>
      <c r="F9" s="116"/>
      <c r="G9" s="116"/>
      <c r="H9" s="116"/>
      <c r="I9" s="117"/>
    </row>
    <row r="10" spans="6:9" ht="12.75">
      <c r="F10" s="62"/>
      <c r="I10" s="62" t="s">
        <v>28</v>
      </c>
    </row>
    <row r="11" spans="1:9" s="30" customFormat="1" ht="38.25" customHeight="1">
      <c r="A11" s="118" t="s">
        <v>151</v>
      </c>
      <c r="B11" s="123" t="s">
        <v>152</v>
      </c>
      <c r="C11" s="124"/>
      <c r="D11" s="125"/>
      <c r="E11" s="118" t="s">
        <v>153</v>
      </c>
      <c r="F11" s="118" t="s">
        <v>261</v>
      </c>
      <c r="G11" s="118" t="s">
        <v>498</v>
      </c>
      <c r="H11" s="120" t="s">
        <v>261</v>
      </c>
      <c r="I11" s="121" t="s">
        <v>499</v>
      </c>
    </row>
    <row r="12" spans="1:9" s="30" customFormat="1" ht="25.5">
      <c r="A12" s="119"/>
      <c r="B12" s="31" t="s">
        <v>154</v>
      </c>
      <c r="C12" s="31" t="s">
        <v>155</v>
      </c>
      <c r="D12" s="31" t="s">
        <v>156</v>
      </c>
      <c r="E12" s="119"/>
      <c r="F12" s="119"/>
      <c r="G12" s="119"/>
      <c r="H12" s="120"/>
      <c r="I12" s="122"/>
    </row>
    <row r="13" spans="1:9" s="85" customFormat="1" ht="16.5" customHeight="1">
      <c r="A13" s="87" t="s">
        <v>238</v>
      </c>
      <c r="B13" s="66" t="s">
        <v>158</v>
      </c>
      <c r="C13" s="66" t="s">
        <v>183</v>
      </c>
      <c r="D13" s="66" t="s">
        <v>157</v>
      </c>
      <c r="E13" s="88">
        <f>E14+E36+E89+E19+E65+E93+E85</f>
        <v>351771.4</v>
      </c>
      <c r="F13" s="88">
        <f>F14+F36+F89+F19+F65+F93</f>
        <v>13614.9</v>
      </c>
      <c r="G13" s="88">
        <f>G14+G36+G89+G19+G65+G93+G85</f>
        <v>141708.3</v>
      </c>
      <c r="H13" s="88">
        <f>H14+H36+H89+H19+H65+H93</f>
        <v>5934.599999999999</v>
      </c>
      <c r="I13" s="88">
        <f>G13/E13*100</f>
        <v>40.28420161502611</v>
      </c>
    </row>
    <row r="14" spans="1:11" s="30" customFormat="1" ht="39.75" customHeight="1">
      <c r="A14" s="21" t="s">
        <v>89</v>
      </c>
      <c r="B14" s="63" t="s">
        <v>259</v>
      </c>
      <c r="C14" s="64" t="s">
        <v>183</v>
      </c>
      <c r="D14" s="64" t="s">
        <v>157</v>
      </c>
      <c r="E14" s="33">
        <f>E15</f>
        <v>2860.6</v>
      </c>
      <c r="F14" s="33"/>
      <c r="G14" s="33">
        <f>G15</f>
        <v>1514.3</v>
      </c>
      <c r="H14" s="33"/>
      <c r="I14" s="23"/>
      <c r="K14" s="115"/>
    </row>
    <row r="15" spans="1:11" s="30" customFormat="1" ht="54" customHeight="1">
      <c r="A15" s="24" t="s">
        <v>262</v>
      </c>
      <c r="B15" s="1" t="s">
        <v>259</v>
      </c>
      <c r="C15" s="2" t="s">
        <v>263</v>
      </c>
      <c r="D15" s="2" t="s">
        <v>157</v>
      </c>
      <c r="E15" s="33">
        <f>E16</f>
        <v>2860.6</v>
      </c>
      <c r="F15" s="33"/>
      <c r="G15" s="33">
        <f>G16</f>
        <v>1514.3</v>
      </c>
      <c r="H15" s="33"/>
      <c r="I15" s="23"/>
      <c r="K15" s="115"/>
    </row>
    <row r="16" spans="1:11" s="30" customFormat="1" ht="12.75">
      <c r="A16" s="25" t="s">
        <v>260</v>
      </c>
      <c r="B16" s="1" t="s">
        <v>259</v>
      </c>
      <c r="C16" s="2" t="s">
        <v>29</v>
      </c>
      <c r="D16" s="2" t="s">
        <v>157</v>
      </c>
      <c r="E16" s="33">
        <f>E17+E18</f>
        <v>2860.6</v>
      </c>
      <c r="F16" s="33"/>
      <c r="G16" s="33">
        <f>G17+G18</f>
        <v>1514.3</v>
      </c>
      <c r="H16" s="33"/>
      <c r="I16" s="23"/>
      <c r="K16" s="115"/>
    </row>
    <row r="17" spans="1:11" s="30" customFormat="1" ht="19.5" customHeight="1">
      <c r="A17" s="25" t="s">
        <v>224</v>
      </c>
      <c r="B17" s="1" t="s">
        <v>259</v>
      </c>
      <c r="C17" s="2" t="s">
        <v>29</v>
      </c>
      <c r="D17" s="2" t="s">
        <v>222</v>
      </c>
      <c r="E17" s="33">
        <f>2624.6-71.5-78.5-125</f>
        <v>2349.6</v>
      </c>
      <c r="F17" s="33"/>
      <c r="G17" s="33">
        <v>1003.3</v>
      </c>
      <c r="H17" s="33"/>
      <c r="I17" s="23"/>
      <c r="K17" s="115"/>
    </row>
    <row r="18" spans="1:11" s="30" customFormat="1" ht="27.75" customHeight="1">
      <c r="A18" s="25" t="s">
        <v>125</v>
      </c>
      <c r="B18" s="1" t="s">
        <v>259</v>
      </c>
      <c r="C18" s="2" t="s">
        <v>29</v>
      </c>
      <c r="D18" s="2" t="s">
        <v>223</v>
      </c>
      <c r="E18" s="33">
        <f>236+71.5+78.5+125</f>
        <v>511</v>
      </c>
      <c r="F18" s="33"/>
      <c r="G18" s="33">
        <v>511</v>
      </c>
      <c r="H18" s="33"/>
      <c r="I18" s="23"/>
      <c r="K18" s="115"/>
    </row>
    <row r="19" spans="1:11" s="30" customFormat="1" ht="54" customHeight="1">
      <c r="A19" s="21" t="s">
        <v>43</v>
      </c>
      <c r="B19" s="1" t="s">
        <v>182</v>
      </c>
      <c r="C19" s="2" t="s">
        <v>183</v>
      </c>
      <c r="D19" s="2" t="s">
        <v>157</v>
      </c>
      <c r="E19" s="33">
        <f>E20</f>
        <v>20064.3</v>
      </c>
      <c r="F19" s="33"/>
      <c r="G19" s="33">
        <f>G20</f>
        <v>9372.699999999999</v>
      </c>
      <c r="H19" s="33"/>
      <c r="I19" s="23"/>
      <c r="K19" s="115"/>
    </row>
    <row r="20" spans="1:11" s="30" customFormat="1" ht="38.25">
      <c r="A20" s="8" t="s">
        <v>262</v>
      </c>
      <c r="B20" s="1" t="s">
        <v>182</v>
      </c>
      <c r="C20" s="1" t="s">
        <v>263</v>
      </c>
      <c r="D20" s="1" t="s">
        <v>157</v>
      </c>
      <c r="E20" s="34">
        <f>E24+E21</f>
        <v>20064.3</v>
      </c>
      <c r="F20" s="34"/>
      <c r="G20" s="34">
        <f>G24+G21</f>
        <v>9372.699999999999</v>
      </c>
      <c r="H20" s="34"/>
      <c r="I20" s="23"/>
      <c r="K20" s="115"/>
    </row>
    <row r="21" spans="1:11" s="30" customFormat="1" ht="25.5">
      <c r="A21" s="8" t="s">
        <v>30</v>
      </c>
      <c r="B21" s="6" t="s">
        <v>182</v>
      </c>
      <c r="C21" s="6" t="s">
        <v>31</v>
      </c>
      <c r="D21" s="6" t="s">
        <v>157</v>
      </c>
      <c r="E21" s="35">
        <f>E22+E23</f>
        <v>2450.4</v>
      </c>
      <c r="F21" s="35"/>
      <c r="G21" s="35">
        <f>G22+G23</f>
        <v>1049.9</v>
      </c>
      <c r="H21" s="35"/>
      <c r="I21" s="23"/>
      <c r="K21" s="115"/>
    </row>
    <row r="22" spans="1:11" s="30" customFormat="1" ht="21" customHeight="1">
      <c r="A22" s="25" t="s">
        <v>224</v>
      </c>
      <c r="B22" s="6" t="s">
        <v>182</v>
      </c>
      <c r="C22" s="6" t="s">
        <v>31</v>
      </c>
      <c r="D22" s="6" t="s">
        <v>222</v>
      </c>
      <c r="E22" s="35">
        <f>2214.4</f>
        <v>2214.4</v>
      </c>
      <c r="F22" s="35"/>
      <c r="G22" s="35">
        <v>1049.9</v>
      </c>
      <c r="H22" s="35"/>
      <c r="I22" s="23"/>
      <c r="K22" s="115"/>
    </row>
    <row r="23" spans="1:11" s="30" customFormat="1" ht="29.25" customHeight="1">
      <c r="A23" s="25" t="s">
        <v>125</v>
      </c>
      <c r="B23" s="6" t="s">
        <v>182</v>
      </c>
      <c r="C23" s="6" t="s">
        <v>31</v>
      </c>
      <c r="D23" s="6" t="s">
        <v>223</v>
      </c>
      <c r="E23" s="35">
        <f>236</f>
        <v>236</v>
      </c>
      <c r="F23" s="35"/>
      <c r="G23" s="35">
        <v>0</v>
      </c>
      <c r="H23" s="35"/>
      <c r="I23" s="23"/>
      <c r="K23" s="115"/>
    </row>
    <row r="24" spans="1:11" s="30" customFormat="1" ht="16.5" customHeight="1">
      <c r="A24" s="10" t="s">
        <v>196</v>
      </c>
      <c r="B24" s="2" t="s">
        <v>182</v>
      </c>
      <c r="C24" s="2" t="s">
        <v>264</v>
      </c>
      <c r="D24" s="2" t="s">
        <v>157</v>
      </c>
      <c r="E24" s="36">
        <f>E25+E28+E31</f>
        <v>17613.899999999998</v>
      </c>
      <c r="F24" s="36"/>
      <c r="G24" s="36">
        <f>G25+G28+G31</f>
        <v>8322.8</v>
      </c>
      <c r="H24" s="36"/>
      <c r="I24" s="23"/>
      <c r="K24" s="115"/>
    </row>
    <row r="25" spans="1:11" s="30" customFormat="1" ht="19.5" customHeight="1">
      <c r="A25" s="47" t="s">
        <v>334</v>
      </c>
      <c r="B25" s="45" t="s">
        <v>182</v>
      </c>
      <c r="C25" s="45" t="s">
        <v>3</v>
      </c>
      <c r="D25" s="45" t="s">
        <v>157</v>
      </c>
      <c r="E25" s="36">
        <f>E26+E27</f>
        <v>786.4000000000001</v>
      </c>
      <c r="F25" s="36"/>
      <c r="G25" s="36">
        <f>G26+G27</f>
        <v>537.4</v>
      </c>
      <c r="H25" s="36"/>
      <c r="I25" s="23"/>
      <c r="K25" s="115"/>
    </row>
    <row r="26" spans="1:11" s="30" customFormat="1" ht="21" customHeight="1">
      <c r="A26" s="25" t="s">
        <v>224</v>
      </c>
      <c r="B26" s="2" t="s">
        <v>182</v>
      </c>
      <c r="C26" s="2" t="s">
        <v>3</v>
      </c>
      <c r="D26" s="6" t="s">
        <v>222</v>
      </c>
      <c r="E26" s="36">
        <f>695.7</f>
        <v>695.7</v>
      </c>
      <c r="F26" s="36"/>
      <c r="G26" s="36">
        <v>537.4</v>
      </c>
      <c r="H26" s="36"/>
      <c r="I26" s="23"/>
      <c r="K26" s="115"/>
    </row>
    <row r="27" spans="1:11" s="30" customFormat="1" ht="28.5" customHeight="1">
      <c r="A27" s="25" t="s">
        <v>125</v>
      </c>
      <c r="B27" s="2" t="s">
        <v>182</v>
      </c>
      <c r="C27" s="2" t="s">
        <v>3</v>
      </c>
      <c r="D27" s="6" t="s">
        <v>223</v>
      </c>
      <c r="E27" s="36">
        <f>236.1+90.7-236.1</f>
        <v>90.70000000000002</v>
      </c>
      <c r="F27" s="36"/>
      <c r="G27" s="36">
        <v>0</v>
      </c>
      <c r="H27" s="36"/>
      <c r="I27" s="23"/>
      <c r="K27" s="115"/>
    </row>
    <row r="28" spans="1:11" s="30" customFormat="1" ht="20.25" customHeight="1">
      <c r="A28" s="47" t="s">
        <v>335</v>
      </c>
      <c r="B28" s="45" t="s">
        <v>182</v>
      </c>
      <c r="C28" s="45" t="s">
        <v>6</v>
      </c>
      <c r="D28" s="45" t="s">
        <v>157</v>
      </c>
      <c r="E28" s="36">
        <f>E29+E30</f>
        <v>13390.199999999999</v>
      </c>
      <c r="F28" s="36"/>
      <c r="G28" s="36">
        <f>G29+G30</f>
        <v>7045.1</v>
      </c>
      <c r="H28" s="36"/>
      <c r="I28" s="23"/>
      <c r="K28" s="115"/>
    </row>
    <row r="29" spans="1:11" s="30" customFormat="1" ht="18.75" customHeight="1">
      <c r="A29" s="25" t="s">
        <v>224</v>
      </c>
      <c r="B29" s="2" t="s">
        <v>182</v>
      </c>
      <c r="C29" s="2" t="s">
        <v>6</v>
      </c>
      <c r="D29" s="6" t="s">
        <v>222</v>
      </c>
      <c r="E29" s="36">
        <f>11262.3</f>
        <v>11262.3</v>
      </c>
      <c r="F29" s="36"/>
      <c r="G29" s="36">
        <v>5864.3</v>
      </c>
      <c r="H29" s="36"/>
      <c r="I29" s="23"/>
      <c r="K29" s="115"/>
    </row>
    <row r="30" spans="1:11" s="30" customFormat="1" ht="27.75" customHeight="1">
      <c r="A30" s="100" t="s">
        <v>125</v>
      </c>
      <c r="B30" s="103" t="s">
        <v>182</v>
      </c>
      <c r="C30" s="103" t="s">
        <v>6</v>
      </c>
      <c r="D30" s="104" t="s">
        <v>223</v>
      </c>
      <c r="E30" s="36">
        <f>1652.5+145.4+130+200</f>
        <v>2127.9</v>
      </c>
      <c r="F30" s="36"/>
      <c r="G30" s="36">
        <v>1180.8</v>
      </c>
      <c r="H30" s="36"/>
      <c r="I30" s="23"/>
      <c r="K30" s="115"/>
    </row>
    <row r="31" spans="1:11" s="30" customFormat="1" ht="25.5">
      <c r="A31" s="47" t="s">
        <v>100</v>
      </c>
      <c r="B31" s="2" t="s">
        <v>182</v>
      </c>
      <c r="C31" s="45" t="s">
        <v>54</v>
      </c>
      <c r="D31" s="2" t="s">
        <v>157</v>
      </c>
      <c r="E31" s="36">
        <f>E32+E33+E34</f>
        <v>3437.3</v>
      </c>
      <c r="F31" s="36"/>
      <c r="G31" s="36">
        <f>G32+G33+G34</f>
        <v>740.3</v>
      </c>
      <c r="H31" s="36"/>
      <c r="I31" s="23"/>
      <c r="K31" s="115"/>
    </row>
    <row r="32" spans="1:11" s="30" customFormat="1" ht="30" customHeight="1">
      <c r="A32" s="10" t="s">
        <v>127</v>
      </c>
      <c r="B32" s="2" t="s">
        <v>182</v>
      </c>
      <c r="C32" s="45" t="s">
        <v>54</v>
      </c>
      <c r="D32" s="2" t="s">
        <v>126</v>
      </c>
      <c r="E32" s="36">
        <f>852-0.3</f>
        <v>851.7</v>
      </c>
      <c r="F32" s="36"/>
      <c r="G32" s="36">
        <v>143.5</v>
      </c>
      <c r="H32" s="36"/>
      <c r="I32" s="23"/>
      <c r="K32" s="115"/>
    </row>
    <row r="33" spans="1:11" s="30" customFormat="1" ht="33.75" customHeight="1">
      <c r="A33" s="47" t="s">
        <v>24</v>
      </c>
      <c r="B33" s="2" t="s">
        <v>182</v>
      </c>
      <c r="C33" s="45" t="s">
        <v>54</v>
      </c>
      <c r="D33" s="2" t="s">
        <v>23</v>
      </c>
      <c r="E33" s="36">
        <f>2870+7.3+5+15.3-130-250.5</f>
        <v>2517.1000000000004</v>
      </c>
      <c r="F33" s="36"/>
      <c r="G33" s="36">
        <v>578.8</v>
      </c>
      <c r="H33" s="36"/>
      <c r="I33" s="23"/>
      <c r="K33" s="115"/>
    </row>
    <row r="34" spans="1:11" s="30" customFormat="1" ht="33.75" customHeight="1">
      <c r="A34" s="47" t="s">
        <v>309</v>
      </c>
      <c r="B34" s="2" t="s">
        <v>182</v>
      </c>
      <c r="C34" s="45" t="s">
        <v>54</v>
      </c>
      <c r="D34" s="2" t="s">
        <v>313</v>
      </c>
      <c r="E34" s="36">
        <f>100-7.3-5-15-4.2</f>
        <v>68.5</v>
      </c>
      <c r="F34" s="36"/>
      <c r="G34" s="36">
        <v>18</v>
      </c>
      <c r="H34" s="36"/>
      <c r="I34" s="23"/>
      <c r="K34" s="115"/>
    </row>
    <row r="35" spans="1:11" s="30" customFormat="1" ht="22.5" customHeight="1">
      <c r="A35" s="100" t="s">
        <v>310</v>
      </c>
      <c r="B35" s="2" t="s">
        <v>182</v>
      </c>
      <c r="C35" s="45" t="s">
        <v>54</v>
      </c>
      <c r="D35" s="2" t="s">
        <v>314</v>
      </c>
      <c r="E35" s="36">
        <v>0</v>
      </c>
      <c r="F35" s="36"/>
      <c r="G35" s="36">
        <v>0</v>
      </c>
      <c r="H35" s="36"/>
      <c r="I35" s="23"/>
      <c r="K35" s="115"/>
    </row>
    <row r="36" spans="1:11" s="30" customFormat="1" ht="54.75" customHeight="1">
      <c r="A36" s="11" t="s">
        <v>44</v>
      </c>
      <c r="B36" s="2" t="s">
        <v>184</v>
      </c>
      <c r="C36" s="2" t="s">
        <v>183</v>
      </c>
      <c r="D36" s="2" t="s">
        <v>157</v>
      </c>
      <c r="E36" s="33">
        <f>E37+E62</f>
        <v>225490.7</v>
      </c>
      <c r="F36" s="36">
        <f>F37+F39+F44</f>
        <v>13614.9</v>
      </c>
      <c r="G36" s="33">
        <f>G37+G62</f>
        <v>98260.19999999998</v>
      </c>
      <c r="H36" s="36">
        <f>H37+H39+H44</f>
        <v>5934.599999999999</v>
      </c>
      <c r="I36" s="23"/>
      <c r="K36" s="115"/>
    </row>
    <row r="37" spans="1:11" s="30" customFormat="1" ht="52.5" customHeight="1">
      <c r="A37" s="18" t="s">
        <v>262</v>
      </c>
      <c r="B37" s="2" t="s">
        <v>184</v>
      </c>
      <c r="C37" s="2" t="s">
        <v>263</v>
      </c>
      <c r="D37" s="2" t="s">
        <v>157</v>
      </c>
      <c r="E37" s="33">
        <f>E38</f>
        <v>222771.6</v>
      </c>
      <c r="F37" s="36">
        <v>0</v>
      </c>
      <c r="G37" s="33">
        <f>G38</f>
        <v>97928.79999999999</v>
      </c>
      <c r="H37" s="36">
        <v>0</v>
      </c>
      <c r="I37" s="23"/>
      <c r="K37" s="115"/>
    </row>
    <row r="38" spans="1:11" s="30" customFormat="1" ht="18.75" customHeight="1">
      <c r="A38" s="9" t="s">
        <v>196</v>
      </c>
      <c r="B38" s="2" t="s">
        <v>184</v>
      </c>
      <c r="C38" s="2" t="s">
        <v>264</v>
      </c>
      <c r="D38" s="2" t="s">
        <v>157</v>
      </c>
      <c r="E38" s="33">
        <f>E39+E44+E50+E53+E56+E48</f>
        <v>222771.6</v>
      </c>
      <c r="F38" s="36">
        <v>0</v>
      </c>
      <c r="G38" s="33">
        <f>G39+G44+G50+G53+G56+G48</f>
        <v>97928.79999999999</v>
      </c>
      <c r="H38" s="36">
        <v>0</v>
      </c>
      <c r="I38" s="23"/>
      <c r="K38" s="115"/>
    </row>
    <row r="39" spans="1:11" s="30" customFormat="1" ht="40.5" customHeight="1">
      <c r="A39" s="8" t="s">
        <v>311</v>
      </c>
      <c r="B39" s="2" t="s">
        <v>184</v>
      </c>
      <c r="C39" s="2" t="s">
        <v>361</v>
      </c>
      <c r="D39" s="2" t="s">
        <v>157</v>
      </c>
      <c r="E39" s="33">
        <f>E40+E41+E42+E43</f>
        <v>7044</v>
      </c>
      <c r="F39" s="33">
        <f>F40+F41+F42+F43</f>
        <v>7044</v>
      </c>
      <c r="G39" s="33">
        <f>G40+G41+G42+G43</f>
        <v>2770</v>
      </c>
      <c r="H39" s="33">
        <f>H40+H41+H42+H43</f>
        <v>2770</v>
      </c>
      <c r="I39" s="23"/>
      <c r="K39" s="115"/>
    </row>
    <row r="40" spans="1:11" s="30" customFormat="1" ht="20.25" customHeight="1">
      <c r="A40" s="25" t="s">
        <v>224</v>
      </c>
      <c r="B40" s="2" t="s">
        <v>184</v>
      </c>
      <c r="C40" s="2" t="s">
        <v>361</v>
      </c>
      <c r="D40" s="2" t="s">
        <v>222</v>
      </c>
      <c r="E40" s="33">
        <f>6088.9-35</f>
        <v>6053.9</v>
      </c>
      <c r="F40" s="33">
        <f>6088.9-35</f>
        <v>6053.9</v>
      </c>
      <c r="G40" s="33">
        <v>2341.1</v>
      </c>
      <c r="H40" s="33">
        <v>2341.1</v>
      </c>
      <c r="I40" s="23"/>
      <c r="K40" s="115"/>
    </row>
    <row r="41" spans="1:11" s="30" customFormat="1" ht="29.25" customHeight="1">
      <c r="A41" s="100" t="s">
        <v>125</v>
      </c>
      <c r="B41" s="2" t="s">
        <v>184</v>
      </c>
      <c r="C41" s="2" t="s">
        <v>361</v>
      </c>
      <c r="D41" s="2" t="s">
        <v>223</v>
      </c>
      <c r="E41" s="33">
        <f>729.6+35</f>
        <v>764.6</v>
      </c>
      <c r="F41" s="33">
        <f>729.6+35</f>
        <v>764.6</v>
      </c>
      <c r="G41" s="33">
        <v>411.1</v>
      </c>
      <c r="H41" s="33">
        <v>411.1</v>
      </c>
      <c r="I41" s="23"/>
      <c r="K41" s="115"/>
    </row>
    <row r="42" spans="1:11" s="30" customFormat="1" ht="29.25" customHeight="1">
      <c r="A42" s="10" t="s">
        <v>127</v>
      </c>
      <c r="B42" s="2" t="s">
        <v>184</v>
      </c>
      <c r="C42" s="2" t="s">
        <v>361</v>
      </c>
      <c r="D42" s="2" t="s">
        <v>126</v>
      </c>
      <c r="E42" s="33">
        <v>27.8</v>
      </c>
      <c r="F42" s="33">
        <v>27.8</v>
      </c>
      <c r="G42" s="33">
        <v>1.9</v>
      </c>
      <c r="H42" s="33">
        <v>1.9</v>
      </c>
      <c r="I42" s="23"/>
      <c r="K42" s="115"/>
    </row>
    <row r="43" spans="1:11" s="30" customFormat="1" ht="29.25" customHeight="1">
      <c r="A43" s="47" t="s">
        <v>24</v>
      </c>
      <c r="B43" s="2" t="s">
        <v>184</v>
      </c>
      <c r="C43" s="2" t="s">
        <v>361</v>
      </c>
      <c r="D43" s="2" t="s">
        <v>23</v>
      </c>
      <c r="E43" s="33">
        <v>197.7</v>
      </c>
      <c r="F43" s="33">
        <v>197.7</v>
      </c>
      <c r="G43" s="33">
        <v>15.9</v>
      </c>
      <c r="H43" s="33">
        <v>15.9</v>
      </c>
      <c r="I43" s="23"/>
      <c r="K43" s="115"/>
    </row>
    <row r="44" spans="1:11" s="30" customFormat="1" ht="40.5" customHeight="1">
      <c r="A44" s="8" t="s">
        <v>312</v>
      </c>
      <c r="B44" s="2" t="s">
        <v>184</v>
      </c>
      <c r="C44" s="2" t="s">
        <v>362</v>
      </c>
      <c r="D44" s="2" t="s">
        <v>157</v>
      </c>
      <c r="E44" s="33">
        <f>E45+E46+E47</f>
        <v>6570.9</v>
      </c>
      <c r="F44" s="33">
        <f>F45+F46+F47</f>
        <v>6570.9</v>
      </c>
      <c r="G44" s="33">
        <f>G45+G46+G47</f>
        <v>3164.5999999999995</v>
      </c>
      <c r="H44" s="33">
        <f>H45+H46+H47</f>
        <v>3164.5999999999995</v>
      </c>
      <c r="I44" s="23"/>
      <c r="K44" s="115"/>
    </row>
    <row r="45" spans="1:11" s="30" customFormat="1" ht="19.5" customHeight="1">
      <c r="A45" s="25" t="s">
        <v>224</v>
      </c>
      <c r="B45" s="2" t="s">
        <v>184</v>
      </c>
      <c r="C45" s="2" t="s">
        <v>362</v>
      </c>
      <c r="D45" s="2" t="s">
        <v>222</v>
      </c>
      <c r="E45" s="33">
        <f>4768.7-35</f>
        <v>4733.7</v>
      </c>
      <c r="F45" s="33">
        <f>4768.7-35</f>
        <v>4733.7</v>
      </c>
      <c r="G45" s="33">
        <v>2317.7</v>
      </c>
      <c r="H45" s="33">
        <v>2317.7</v>
      </c>
      <c r="I45" s="23"/>
      <c r="K45" s="115"/>
    </row>
    <row r="46" spans="1:11" s="30" customFormat="1" ht="27.75" customHeight="1">
      <c r="A46" s="100" t="s">
        <v>125</v>
      </c>
      <c r="B46" s="2" t="s">
        <v>184</v>
      </c>
      <c r="C46" s="2" t="s">
        <v>362</v>
      </c>
      <c r="D46" s="2" t="s">
        <v>223</v>
      </c>
      <c r="E46" s="33">
        <f>407.3+35</f>
        <v>442.3</v>
      </c>
      <c r="F46" s="33">
        <f>407.3+35</f>
        <v>442.3</v>
      </c>
      <c r="G46" s="33">
        <v>255.6</v>
      </c>
      <c r="H46" s="33">
        <v>255.6</v>
      </c>
      <c r="I46" s="23"/>
      <c r="K46" s="115"/>
    </row>
    <row r="47" spans="1:11" s="30" customFormat="1" ht="27.75" customHeight="1">
      <c r="A47" s="47" t="s">
        <v>24</v>
      </c>
      <c r="B47" s="2" t="s">
        <v>184</v>
      </c>
      <c r="C47" s="2" t="s">
        <v>362</v>
      </c>
      <c r="D47" s="2" t="s">
        <v>23</v>
      </c>
      <c r="E47" s="33">
        <f>1393+1.9</f>
        <v>1394.9</v>
      </c>
      <c r="F47" s="33">
        <f>1393+1.9</f>
        <v>1394.9</v>
      </c>
      <c r="G47" s="33">
        <v>591.3</v>
      </c>
      <c r="H47" s="33">
        <v>591.3</v>
      </c>
      <c r="I47" s="23"/>
      <c r="K47" s="115"/>
    </row>
    <row r="48" spans="1:11" s="30" customFormat="1" ht="18" customHeight="1">
      <c r="A48" s="8" t="s">
        <v>351</v>
      </c>
      <c r="B48" s="2" t="s">
        <v>184</v>
      </c>
      <c r="C48" s="2" t="s">
        <v>53</v>
      </c>
      <c r="D48" s="2" t="s">
        <v>157</v>
      </c>
      <c r="E48" s="33">
        <f>E49</f>
        <v>1200</v>
      </c>
      <c r="F48" s="36"/>
      <c r="G48" s="33">
        <f>G49</f>
        <v>0</v>
      </c>
      <c r="H48" s="36"/>
      <c r="I48" s="23"/>
      <c r="K48" s="115"/>
    </row>
    <row r="49" spans="1:11" s="30" customFormat="1" ht="27.75" customHeight="1">
      <c r="A49" s="10" t="s">
        <v>24</v>
      </c>
      <c r="B49" s="2" t="s">
        <v>184</v>
      </c>
      <c r="C49" s="2" t="s">
        <v>53</v>
      </c>
      <c r="D49" s="2" t="s">
        <v>23</v>
      </c>
      <c r="E49" s="33">
        <f>1200</f>
        <v>1200</v>
      </c>
      <c r="F49" s="36"/>
      <c r="G49" s="33">
        <v>0</v>
      </c>
      <c r="H49" s="36"/>
      <c r="I49" s="23"/>
      <c r="K49" s="115"/>
    </row>
    <row r="50" spans="1:11" s="30" customFormat="1" ht="19.5" customHeight="1">
      <c r="A50" s="47" t="s">
        <v>334</v>
      </c>
      <c r="B50" s="2" t="s">
        <v>184</v>
      </c>
      <c r="C50" s="2" t="s">
        <v>3</v>
      </c>
      <c r="D50" s="2" t="s">
        <v>157</v>
      </c>
      <c r="E50" s="33">
        <f>E51+E52</f>
        <v>20053.9</v>
      </c>
      <c r="F50" s="36"/>
      <c r="G50" s="33">
        <f>G51+G52</f>
        <v>7949.1</v>
      </c>
      <c r="H50" s="36"/>
      <c r="I50" s="23"/>
      <c r="K50" s="115"/>
    </row>
    <row r="51" spans="1:11" s="30" customFormat="1" ht="23.25" customHeight="1">
      <c r="A51" s="25" t="s">
        <v>224</v>
      </c>
      <c r="B51" s="2" t="s">
        <v>184</v>
      </c>
      <c r="C51" s="2" t="s">
        <v>3</v>
      </c>
      <c r="D51" s="2" t="s">
        <v>222</v>
      </c>
      <c r="E51" s="33">
        <f>15688.8+351.7</f>
        <v>16040.5</v>
      </c>
      <c r="F51" s="36"/>
      <c r="G51" s="33">
        <v>7947.6</v>
      </c>
      <c r="H51" s="36"/>
      <c r="I51" s="23"/>
      <c r="K51" s="115"/>
    </row>
    <row r="52" spans="1:11" s="30" customFormat="1" ht="30" customHeight="1">
      <c r="A52" s="100" t="s">
        <v>125</v>
      </c>
      <c r="B52" s="2" t="s">
        <v>184</v>
      </c>
      <c r="C52" s="2" t="s">
        <v>3</v>
      </c>
      <c r="D52" s="2" t="s">
        <v>223</v>
      </c>
      <c r="E52" s="33">
        <f>4013.4</f>
        <v>4013.4</v>
      </c>
      <c r="F52" s="36"/>
      <c r="G52" s="33">
        <v>1.5</v>
      </c>
      <c r="H52" s="36"/>
      <c r="I52" s="23"/>
      <c r="K52" s="115"/>
    </row>
    <row r="53" spans="1:11" s="30" customFormat="1" ht="21" customHeight="1">
      <c r="A53" s="47" t="s">
        <v>335</v>
      </c>
      <c r="B53" s="2" t="s">
        <v>184</v>
      </c>
      <c r="C53" s="2" t="s">
        <v>6</v>
      </c>
      <c r="D53" s="2" t="s">
        <v>157</v>
      </c>
      <c r="E53" s="33">
        <f>E54+E55</f>
        <v>142338.90000000002</v>
      </c>
      <c r="F53" s="36"/>
      <c r="G53" s="33">
        <f>G54+G55</f>
        <v>67452.8</v>
      </c>
      <c r="H53" s="36"/>
      <c r="I53" s="23"/>
      <c r="K53" s="115"/>
    </row>
    <row r="54" spans="1:11" s="30" customFormat="1" ht="17.25" customHeight="1">
      <c r="A54" s="25" t="s">
        <v>224</v>
      </c>
      <c r="B54" s="2" t="s">
        <v>184</v>
      </c>
      <c r="C54" s="2" t="s">
        <v>6</v>
      </c>
      <c r="D54" s="2" t="s">
        <v>222</v>
      </c>
      <c r="E54" s="33">
        <f>122475.6+30.3-567.8+216.1</f>
        <v>122154.20000000001</v>
      </c>
      <c r="F54" s="36"/>
      <c r="G54" s="33">
        <v>55747.3</v>
      </c>
      <c r="H54" s="36"/>
      <c r="I54" s="23"/>
      <c r="K54" s="115"/>
    </row>
    <row r="55" spans="1:11" s="30" customFormat="1" ht="24.75" customHeight="1">
      <c r="A55" s="100" t="s">
        <v>125</v>
      </c>
      <c r="B55" s="2" t="s">
        <v>184</v>
      </c>
      <c r="C55" s="2" t="s">
        <v>6</v>
      </c>
      <c r="D55" s="2" t="s">
        <v>223</v>
      </c>
      <c r="E55" s="33">
        <f>20184.7</f>
        <v>20184.7</v>
      </c>
      <c r="F55" s="36"/>
      <c r="G55" s="33">
        <v>11705.5</v>
      </c>
      <c r="H55" s="36"/>
      <c r="I55" s="23"/>
      <c r="K55" s="115"/>
    </row>
    <row r="56" spans="1:11" s="30" customFormat="1" ht="25.5">
      <c r="A56" s="47" t="s">
        <v>100</v>
      </c>
      <c r="B56" s="2" t="s">
        <v>184</v>
      </c>
      <c r="C56" s="2" t="s">
        <v>54</v>
      </c>
      <c r="D56" s="2" t="s">
        <v>157</v>
      </c>
      <c r="E56" s="33">
        <f>E59+E57+E60+E61+E58</f>
        <v>45563.9</v>
      </c>
      <c r="F56" s="36"/>
      <c r="G56" s="33">
        <f>G59+G57+G60+G61+G58</f>
        <v>16592.299999999996</v>
      </c>
      <c r="H56" s="36"/>
      <c r="I56" s="23"/>
      <c r="K56" s="115"/>
    </row>
    <row r="57" spans="1:11" s="30" customFormat="1" ht="29.25" customHeight="1">
      <c r="A57" s="47" t="s">
        <v>127</v>
      </c>
      <c r="B57" s="2" t="s">
        <v>184</v>
      </c>
      <c r="C57" s="2" t="s">
        <v>54</v>
      </c>
      <c r="D57" s="2" t="s">
        <v>126</v>
      </c>
      <c r="E57" s="33">
        <f>14705.8+25.7-2.5-90-3.9+17.5</f>
        <v>14652.6</v>
      </c>
      <c r="F57" s="36"/>
      <c r="G57" s="33">
        <v>4653.8</v>
      </c>
      <c r="H57" s="36"/>
      <c r="I57" s="23"/>
      <c r="K57" s="115"/>
    </row>
    <row r="58" spans="1:11" s="30" customFormat="1" ht="29.25" customHeight="1">
      <c r="A58" s="100" t="s">
        <v>315</v>
      </c>
      <c r="B58" s="2" t="s">
        <v>184</v>
      </c>
      <c r="C58" s="2" t="s">
        <v>54</v>
      </c>
      <c r="D58" s="2" t="s">
        <v>316</v>
      </c>
      <c r="E58" s="33">
        <v>0</v>
      </c>
      <c r="F58" s="36"/>
      <c r="G58" s="33">
        <v>0</v>
      </c>
      <c r="H58" s="36"/>
      <c r="I58" s="23"/>
      <c r="K58" s="115"/>
    </row>
    <row r="59" spans="1:11" s="30" customFormat="1" ht="29.25" customHeight="1">
      <c r="A59" s="10" t="s">
        <v>24</v>
      </c>
      <c r="B59" s="2" t="s">
        <v>184</v>
      </c>
      <c r="C59" s="2" t="s">
        <v>54</v>
      </c>
      <c r="D59" s="2" t="s">
        <v>23</v>
      </c>
      <c r="E59" s="33">
        <f>19351+3042.5+997.8+167.9+99.7-6.2-4-2.5+2.5+80+90+109.2+15+58.2-109.2-15+2.1+3.9-17.5+235+150+500+5000</f>
        <v>29750.4</v>
      </c>
      <c r="F59" s="36"/>
      <c r="G59" s="33">
        <v>11732.8</v>
      </c>
      <c r="H59" s="36"/>
      <c r="I59" s="23"/>
      <c r="K59" s="115"/>
    </row>
    <row r="60" spans="1:11" s="30" customFormat="1" ht="29.25" customHeight="1">
      <c r="A60" s="47" t="s">
        <v>309</v>
      </c>
      <c r="B60" s="2" t="s">
        <v>184</v>
      </c>
      <c r="C60" s="2" t="s">
        <v>54</v>
      </c>
      <c r="D60" s="2" t="s">
        <v>313</v>
      </c>
      <c r="E60" s="33">
        <f>403-2.1-1.5</f>
        <v>399.4</v>
      </c>
      <c r="F60" s="36"/>
      <c r="G60" s="33">
        <v>194.6</v>
      </c>
      <c r="H60" s="36"/>
      <c r="I60" s="23"/>
      <c r="K60" s="115"/>
    </row>
    <row r="61" spans="1:11" s="30" customFormat="1" ht="20.25" customHeight="1">
      <c r="A61" s="100" t="s">
        <v>310</v>
      </c>
      <c r="B61" s="2" t="s">
        <v>184</v>
      </c>
      <c r="C61" s="2" t="s">
        <v>54</v>
      </c>
      <c r="D61" s="2" t="s">
        <v>314</v>
      </c>
      <c r="E61" s="33">
        <f>760+1.5</f>
        <v>761.5</v>
      </c>
      <c r="F61" s="36"/>
      <c r="G61" s="33">
        <v>11.1</v>
      </c>
      <c r="H61" s="36"/>
      <c r="I61" s="23"/>
      <c r="K61" s="115"/>
    </row>
    <row r="62" spans="1:11" s="30" customFormat="1" ht="16.5" customHeight="1">
      <c r="A62" s="17" t="s">
        <v>35</v>
      </c>
      <c r="B62" s="2" t="s">
        <v>184</v>
      </c>
      <c r="C62" s="5" t="s">
        <v>36</v>
      </c>
      <c r="D62" s="5" t="s">
        <v>157</v>
      </c>
      <c r="E62" s="33">
        <f>E63</f>
        <v>2719.1</v>
      </c>
      <c r="F62" s="36"/>
      <c r="G62" s="33">
        <f>G63</f>
        <v>331.4</v>
      </c>
      <c r="H62" s="36"/>
      <c r="I62" s="23"/>
      <c r="K62" s="115"/>
    </row>
    <row r="63" spans="1:11" s="30" customFormat="1" ht="66" customHeight="1">
      <c r="A63" s="92" t="s">
        <v>4</v>
      </c>
      <c r="B63" s="2" t="s">
        <v>184</v>
      </c>
      <c r="C63" s="50" t="s">
        <v>5</v>
      </c>
      <c r="D63" s="50" t="s">
        <v>157</v>
      </c>
      <c r="E63" s="33">
        <f>E64</f>
        <v>2719.1</v>
      </c>
      <c r="F63" s="36"/>
      <c r="G63" s="33">
        <f>G64</f>
        <v>331.4</v>
      </c>
      <c r="H63" s="36"/>
      <c r="I63" s="23"/>
      <c r="K63" s="115"/>
    </row>
    <row r="64" spans="1:11" s="30" customFormat="1" ht="27.75" customHeight="1">
      <c r="A64" s="10" t="s">
        <v>24</v>
      </c>
      <c r="B64" s="2" t="s">
        <v>184</v>
      </c>
      <c r="C64" s="50" t="s">
        <v>5</v>
      </c>
      <c r="D64" s="50" t="s">
        <v>23</v>
      </c>
      <c r="E64" s="33">
        <f>1914.1+805</f>
        <v>2719.1</v>
      </c>
      <c r="F64" s="36"/>
      <c r="G64" s="33">
        <v>331.4</v>
      </c>
      <c r="H64" s="36"/>
      <c r="I64" s="23"/>
      <c r="K64" s="115"/>
    </row>
    <row r="65" spans="1:11" s="30" customFormat="1" ht="44.25" customHeight="1">
      <c r="A65" s="57" t="s">
        <v>55</v>
      </c>
      <c r="B65" s="2" t="s">
        <v>56</v>
      </c>
      <c r="C65" s="2" t="s">
        <v>183</v>
      </c>
      <c r="D65" s="2" t="s">
        <v>157</v>
      </c>
      <c r="E65" s="33">
        <f>E66+E82</f>
        <v>43548.49999999999</v>
      </c>
      <c r="F65" s="36">
        <f>F66</f>
        <v>0</v>
      </c>
      <c r="G65" s="33">
        <f>G66+G82</f>
        <v>17876.8</v>
      </c>
      <c r="H65" s="36">
        <f>H66</f>
        <v>0</v>
      </c>
      <c r="I65" s="23"/>
      <c r="K65" s="115"/>
    </row>
    <row r="66" spans="1:11" s="30" customFormat="1" ht="53.25" customHeight="1">
      <c r="A66" s="14" t="s">
        <v>262</v>
      </c>
      <c r="B66" s="2" t="s">
        <v>56</v>
      </c>
      <c r="C66" s="2" t="s">
        <v>263</v>
      </c>
      <c r="D66" s="2" t="s">
        <v>157</v>
      </c>
      <c r="E66" s="33">
        <f>E67+E79</f>
        <v>43413.49999999999</v>
      </c>
      <c r="F66" s="36">
        <f>F67</f>
        <v>0</v>
      </c>
      <c r="G66" s="33">
        <f>G67+G79</f>
        <v>17867.5</v>
      </c>
      <c r="H66" s="36">
        <f>H67</f>
        <v>0</v>
      </c>
      <c r="I66" s="23"/>
      <c r="K66" s="115"/>
    </row>
    <row r="67" spans="1:11" s="30" customFormat="1" ht="17.25" customHeight="1">
      <c r="A67" s="8" t="s">
        <v>196</v>
      </c>
      <c r="B67" s="2" t="s">
        <v>56</v>
      </c>
      <c r="C67" s="2" t="s">
        <v>264</v>
      </c>
      <c r="D67" s="2" t="s">
        <v>157</v>
      </c>
      <c r="E67" s="33">
        <f>E68+E71+E74</f>
        <v>41761.899999999994</v>
      </c>
      <c r="F67" s="36"/>
      <c r="G67" s="33">
        <f>G68+G71+G74</f>
        <v>16707.7</v>
      </c>
      <c r="H67" s="36"/>
      <c r="I67" s="23"/>
      <c r="K67" s="115"/>
    </row>
    <row r="68" spans="1:11" s="30" customFormat="1" ht="17.25" customHeight="1">
      <c r="A68" s="47" t="s">
        <v>334</v>
      </c>
      <c r="B68" s="2" t="s">
        <v>56</v>
      </c>
      <c r="C68" s="2" t="s">
        <v>3</v>
      </c>
      <c r="D68" s="2" t="s">
        <v>157</v>
      </c>
      <c r="E68" s="33">
        <f>E69+E70</f>
        <v>1703.9</v>
      </c>
      <c r="F68" s="36"/>
      <c r="G68" s="33">
        <f>G69+G70</f>
        <v>781.6</v>
      </c>
      <c r="H68" s="36"/>
      <c r="I68" s="23"/>
      <c r="K68" s="115"/>
    </row>
    <row r="69" spans="1:11" s="30" customFormat="1" ht="18" customHeight="1">
      <c r="A69" s="25" t="s">
        <v>224</v>
      </c>
      <c r="B69" s="2" t="s">
        <v>56</v>
      </c>
      <c r="C69" s="2" t="s">
        <v>3</v>
      </c>
      <c r="D69" s="2" t="s">
        <v>222</v>
      </c>
      <c r="E69" s="33">
        <f>1424.8</f>
        <v>1424.8</v>
      </c>
      <c r="F69" s="36"/>
      <c r="G69" s="33">
        <v>781.6</v>
      </c>
      <c r="H69" s="36"/>
      <c r="I69" s="23"/>
      <c r="K69" s="115"/>
    </row>
    <row r="70" spans="1:11" s="30" customFormat="1" ht="28.5" customHeight="1">
      <c r="A70" s="100" t="s">
        <v>125</v>
      </c>
      <c r="B70" s="2" t="s">
        <v>56</v>
      </c>
      <c r="C70" s="2" t="s">
        <v>3</v>
      </c>
      <c r="D70" s="2" t="s">
        <v>223</v>
      </c>
      <c r="E70" s="33">
        <f>354.1-75</f>
        <v>279.1</v>
      </c>
      <c r="F70" s="36"/>
      <c r="G70" s="33">
        <v>0</v>
      </c>
      <c r="H70" s="36"/>
      <c r="I70" s="23"/>
      <c r="K70" s="115"/>
    </row>
    <row r="71" spans="1:11" s="30" customFormat="1" ht="21" customHeight="1">
      <c r="A71" s="47" t="s">
        <v>335</v>
      </c>
      <c r="B71" s="2" t="s">
        <v>56</v>
      </c>
      <c r="C71" s="2" t="s">
        <v>6</v>
      </c>
      <c r="D71" s="2" t="s">
        <v>157</v>
      </c>
      <c r="E71" s="33">
        <f>E72+E73</f>
        <v>32957.7</v>
      </c>
      <c r="F71" s="36"/>
      <c r="G71" s="33">
        <f>G72+G73</f>
        <v>15021.6</v>
      </c>
      <c r="H71" s="36"/>
      <c r="I71" s="23"/>
      <c r="K71" s="115"/>
    </row>
    <row r="72" spans="1:11" s="30" customFormat="1" ht="17.25" customHeight="1">
      <c r="A72" s="25" t="s">
        <v>224</v>
      </c>
      <c r="B72" s="2" t="s">
        <v>56</v>
      </c>
      <c r="C72" s="2" t="s">
        <v>6</v>
      </c>
      <c r="D72" s="2" t="s">
        <v>222</v>
      </c>
      <c r="E72" s="33">
        <f>28351.8</f>
        <v>28351.8</v>
      </c>
      <c r="F72" s="36"/>
      <c r="G72" s="33">
        <v>12274.7</v>
      </c>
      <c r="H72" s="36"/>
      <c r="I72" s="23"/>
      <c r="K72" s="115"/>
    </row>
    <row r="73" spans="1:11" s="30" customFormat="1" ht="26.25" customHeight="1">
      <c r="A73" s="100" t="s">
        <v>125</v>
      </c>
      <c r="B73" s="2" t="s">
        <v>56</v>
      </c>
      <c r="C73" s="2" t="s">
        <v>6</v>
      </c>
      <c r="D73" s="2" t="s">
        <v>223</v>
      </c>
      <c r="E73" s="33">
        <f>4605.9</f>
        <v>4605.9</v>
      </c>
      <c r="F73" s="36"/>
      <c r="G73" s="33">
        <v>2746.9</v>
      </c>
      <c r="H73" s="36"/>
      <c r="I73" s="23"/>
      <c r="K73" s="115"/>
    </row>
    <row r="74" spans="1:11" s="30" customFormat="1" ht="30.75" customHeight="1">
      <c r="A74" s="47" t="s">
        <v>100</v>
      </c>
      <c r="B74" s="2" t="s">
        <v>56</v>
      </c>
      <c r="C74" s="2" t="s">
        <v>54</v>
      </c>
      <c r="D74" s="2" t="s">
        <v>157</v>
      </c>
      <c r="E74" s="33">
        <f>E75+E76+E77+E78</f>
        <v>7100.299999999999</v>
      </c>
      <c r="F74" s="36"/>
      <c r="G74" s="33">
        <f>G75+G76+G77+G78</f>
        <v>904.5</v>
      </c>
      <c r="H74" s="36"/>
      <c r="I74" s="23"/>
      <c r="K74" s="115"/>
    </row>
    <row r="75" spans="1:11" s="30" customFormat="1" ht="30.75" customHeight="1">
      <c r="A75" s="47" t="s">
        <v>127</v>
      </c>
      <c r="B75" s="2" t="s">
        <v>56</v>
      </c>
      <c r="C75" s="2" t="s">
        <v>54</v>
      </c>
      <c r="D75" s="2" t="s">
        <v>126</v>
      </c>
      <c r="E75" s="33">
        <f>1605.9-66-15</f>
        <v>1524.9</v>
      </c>
      <c r="F75" s="36"/>
      <c r="G75" s="33">
        <v>402.2</v>
      </c>
      <c r="H75" s="36"/>
      <c r="I75" s="23"/>
      <c r="K75" s="115"/>
    </row>
    <row r="76" spans="1:11" s="30" customFormat="1" ht="30.75" customHeight="1">
      <c r="A76" s="47" t="s">
        <v>24</v>
      </c>
      <c r="B76" s="2" t="s">
        <v>56</v>
      </c>
      <c r="C76" s="2" t="s">
        <v>54</v>
      </c>
      <c r="D76" s="2" t="s">
        <v>23</v>
      </c>
      <c r="E76" s="33">
        <f>4131.4-165+1500</f>
        <v>5466.4</v>
      </c>
      <c r="F76" s="36"/>
      <c r="G76" s="33">
        <v>432.6</v>
      </c>
      <c r="H76" s="36"/>
      <c r="I76" s="23"/>
      <c r="K76" s="115"/>
    </row>
    <row r="77" spans="1:11" s="30" customFormat="1" ht="30.75" customHeight="1">
      <c r="A77" s="47" t="s">
        <v>309</v>
      </c>
      <c r="B77" s="2" t="s">
        <v>56</v>
      </c>
      <c r="C77" s="2" t="s">
        <v>54</v>
      </c>
      <c r="D77" s="2" t="s">
        <v>313</v>
      </c>
      <c r="E77" s="33">
        <f>4+40-1</f>
        <v>43</v>
      </c>
      <c r="F77" s="36"/>
      <c r="G77" s="33">
        <v>4.7</v>
      </c>
      <c r="H77" s="36"/>
      <c r="I77" s="23"/>
      <c r="K77" s="115"/>
    </row>
    <row r="78" spans="1:11" s="30" customFormat="1" ht="18" customHeight="1">
      <c r="A78" s="100" t="s">
        <v>310</v>
      </c>
      <c r="B78" s="2" t="s">
        <v>56</v>
      </c>
      <c r="C78" s="2" t="s">
        <v>54</v>
      </c>
      <c r="D78" s="2" t="s">
        <v>314</v>
      </c>
      <c r="E78" s="33">
        <f>50+1+15</f>
        <v>66</v>
      </c>
      <c r="F78" s="36"/>
      <c r="G78" s="33">
        <v>65</v>
      </c>
      <c r="H78" s="36"/>
      <c r="I78" s="23"/>
      <c r="K78" s="115"/>
    </row>
    <row r="79" spans="1:11" s="30" customFormat="1" ht="30" customHeight="1">
      <c r="A79" s="101" t="s">
        <v>79</v>
      </c>
      <c r="B79" s="2" t="s">
        <v>56</v>
      </c>
      <c r="C79" s="2" t="s">
        <v>80</v>
      </c>
      <c r="D79" s="2" t="s">
        <v>157</v>
      </c>
      <c r="E79" s="33">
        <f>E80+E81</f>
        <v>1651.6</v>
      </c>
      <c r="F79" s="36"/>
      <c r="G79" s="33">
        <f>G80+G81</f>
        <v>1159.8</v>
      </c>
      <c r="H79" s="36"/>
      <c r="I79" s="23"/>
      <c r="K79" s="115"/>
    </row>
    <row r="80" spans="1:11" s="30" customFormat="1" ht="19.5" customHeight="1">
      <c r="A80" s="100" t="s">
        <v>224</v>
      </c>
      <c r="B80" s="2" t="s">
        <v>56</v>
      </c>
      <c r="C80" s="2" t="s">
        <v>80</v>
      </c>
      <c r="D80" s="2" t="s">
        <v>222</v>
      </c>
      <c r="E80" s="33">
        <f>1227.6+66-49.5+165</f>
        <v>1409.1</v>
      </c>
      <c r="F80" s="36"/>
      <c r="G80" s="33">
        <v>947.1</v>
      </c>
      <c r="H80" s="36"/>
      <c r="I80" s="23"/>
      <c r="K80" s="115"/>
    </row>
    <row r="81" spans="1:11" s="30" customFormat="1" ht="28.5" customHeight="1">
      <c r="A81" s="100" t="s">
        <v>125</v>
      </c>
      <c r="B81" s="2" t="s">
        <v>56</v>
      </c>
      <c r="C81" s="2" t="s">
        <v>80</v>
      </c>
      <c r="D81" s="2" t="s">
        <v>223</v>
      </c>
      <c r="E81" s="33">
        <f>118+124.5</f>
        <v>242.5</v>
      </c>
      <c r="F81" s="36"/>
      <c r="G81" s="33">
        <v>212.7</v>
      </c>
      <c r="H81" s="36"/>
      <c r="I81" s="23"/>
      <c r="K81" s="115"/>
    </row>
    <row r="82" spans="1:11" s="30" customFormat="1" ht="17.25" customHeight="1">
      <c r="A82" s="17" t="s">
        <v>35</v>
      </c>
      <c r="B82" s="2" t="s">
        <v>56</v>
      </c>
      <c r="C82" s="5" t="s">
        <v>36</v>
      </c>
      <c r="D82" s="5" t="s">
        <v>157</v>
      </c>
      <c r="E82" s="33">
        <f>E83</f>
        <v>135</v>
      </c>
      <c r="F82" s="36"/>
      <c r="G82" s="33">
        <f>G83</f>
        <v>9.3</v>
      </c>
      <c r="H82" s="36"/>
      <c r="I82" s="23"/>
      <c r="K82" s="115"/>
    </row>
    <row r="83" spans="1:11" s="30" customFormat="1" ht="71.25" customHeight="1">
      <c r="A83" s="92" t="s">
        <v>4</v>
      </c>
      <c r="B83" s="2" t="s">
        <v>56</v>
      </c>
      <c r="C83" s="50" t="s">
        <v>5</v>
      </c>
      <c r="D83" s="50" t="s">
        <v>157</v>
      </c>
      <c r="E83" s="33">
        <f>E84</f>
        <v>135</v>
      </c>
      <c r="F83" s="36"/>
      <c r="G83" s="33">
        <f>G84</f>
        <v>9.3</v>
      </c>
      <c r="H83" s="36"/>
      <c r="I83" s="23"/>
      <c r="K83" s="115"/>
    </row>
    <row r="84" spans="1:11" s="30" customFormat="1" ht="28.5" customHeight="1">
      <c r="A84" s="10" t="s">
        <v>24</v>
      </c>
      <c r="B84" s="2" t="s">
        <v>56</v>
      </c>
      <c r="C84" s="50" t="s">
        <v>5</v>
      </c>
      <c r="D84" s="50" t="s">
        <v>23</v>
      </c>
      <c r="E84" s="33">
        <f>135</f>
        <v>135</v>
      </c>
      <c r="F84" s="36"/>
      <c r="G84" s="33">
        <v>9.3</v>
      </c>
      <c r="H84" s="36"/>
      <c r="I84" s="23"/>
      <c r="K84" s="115"/>
    </row>
    <row r="85" spans="1:11" s="30" customFormat="1" ht="18.75" customHeight="1">
      <c r="A85" s="101" t="s">
        <v>327</v>
      </c>
      <c r="B85" s="45" t="s">
        <v>326</v>
      </c>
      <c r="C85" s="45" t="s">
        <v>183</v>
      </c>
      <c r="D85" s="45" t="s">
        <v>157</v>
      </c>
      <c r="E85" s="99">
        <f>E86</f>
        <v>2253</v>
      </c>
      <c r="F85" s="54"/>
      <c r="G85" s="99">
        <f>G86</f>
        <v>0</v>
      </c>
      <c r="H85" s="54"/>
      <c r="I85" s="23"/>
      <c r="K85" s="115"/>
    </row>
    <row r="86" spans="1:11" s="30" customFormat="1" ht="24" customHeight="1">
      <c r="A86" s="102" t="s">
        <v>328</v>
      </c>
      <c r="B86" s="45" t="s">
        <v>326</v>
      </c>
      <c r="C86" s="45" t="s">
        <v>183</v>
      </c>
      <c r="D86" s="45" t="s">
        <v>157</v>
      </c>
      <c r="E86" s="99">
        <f>E87</f>
        <v>2253</v>
      </c>
      <c r="F86" s="54"/>
      <c r="G86" s="99">
        <f>G87</f>
        <v>0</v>
      </c>
      <c r="H86" s="54"/>
      <c r="I86" s="23"/>
      <c r="K86" s="115"/>
    </row>
    <row r="87" spans="1:11" s="30" customFormat="1" ht="43.5" customHeight="1">
      <c r="A87" s="102" t="s">
        <v>329</v>
      </c>
      <c r="B87" s="45" t="s">
        <v>326</v>
      </c>
      <c r="C87" s="45" t="s">
        <v>411</v>
      </c>
      <c r="D87" s="45" t="s">
        <v>157</v>
      </c>
      <c r="E87" s="99">
        <f>E88</f>
        <v>2253</v>
      </c>
      <c r="F87" s="54"/>
      <c r="G87" s="99">
        <f>G88</f>
        <v>0</v>
      </c>
      <c r="H87" s="54"/>
      <c r="I87" s="23"/>
      <c r="K87" s="115"/>
    </row>
    <row r="88" spans="1:11" s="30" customFormat="1" ht="28.5" customHeight="1">
      <c r="A88" s="47" t="s">
        <v>24</v>
      </c>
      <c r="B88" s="45" t="s">
        <v>326</v>
      </c>
      <c r="C88" s="45" t="s">
        <v>411</v>
      </c>
      <c r="D88" s="45" t="s">
        <v>23</v>
      </c>
      <c r="E88" s="99">
        <f>2253</f>
        <v>2253</v>
      </c>
      <c r="F88" s="54"/>
      <c r="G88" s="99">
        <v>0</v>
      </c>
      <c r="H88" s="54"/>
      <c r="I88" s="23"/>
      <c r="K88" s="115"/>
    </row>
    <row r="89" spans="1:11" s="30" customFormat="1" ht="16.5" customHeight="1">
      <c r="A89" s="22" t="s">
        <v>179</v>
      </c>
      <c r="B89" s="2" t="s">
        <v>265</v>
      </c>
      <c r="C89" s="2" t="s">
        <v>183</v>
      </c>
      <c r="D89" s="2" t="s">
        <v>157</v>
      </c>
      <c r="E89" s="33">
        <f>E90</f>
        <v>15000</v>
      </c>
      <c r="F89" s="36"/>
      <c r="G89" s="33">
        <f>G90</f>
        <v>0</v>
      </c>
      <c r="H89" s="36"/>
      <c r="I89" s="23"/>
      <c r="K89" s="115"/>
    </row>
    <row r="90" spans="1:11" s="30" customFormat="1" ht="18" customHeight="1">
      <c r="A90" s="9" t="s">
        <v>179</v>
      </c>
      <c r="B90" s="2" t="s">
        <v>265</v>
      </c>
      <c r="C90" s="2" t="s">
        <v>188</v>
      </c>
      <c r="D90" s="2" t="s">
        <v>157</v>
      </c>
      <c r="E90" s="33">
        <f>E91</f>
        <v>15000</v>
      </c>
      <c r="F90" s="36"/>
      <c r="G90" s="33">
        <f>G91</f>
        <v>0</v>
      </c>
      <c r="H90" s="36"/>
      <c r="I90" s="23"/>
      <c r="K90" s="115"/>
    </row>
    <row r="91" spans="1:11" s="30" customFormat="1" ht="17.25" customHeight="1">
      <c r="A91" s="8" t="s">
        <v>33</v>
      </c>
      <c r="B91" s="2" t="s">
        <v>265</v>
      </c>
      <c r="C91" s="2" t="s">
        <v>34</v>
      </c>
      <c r="D91" s="2" t="s">
        <v>157</v>
      </c>
      <c r="E91" s="33">
        <f>E92</f>
        <v>15000</v>
      </c>
      <c r="F91" s="36"/>
      <c r="G91" s="33">
        <f>G92</f>
        <v>0</v>
      </c>
      <c r="H91" s="36"/>
      <c r="I91" s="23"/>
      <c r="K91" s="115"/>
    </row>
    <row r="92" spans="1:11" s="30" customFormat="1" ht="19.5" customHeight="1">
      <c r="A92" s="8" t="s">
        <v>19</v>
      </c>
      <c r="B92" s="2" t="s">
        <v>265</v>
      </c>
      <c r="C92" s="2" t="s">
        <v>34</v>
      </c>
      <c r="D92" s="2" t="s">
        <v>18</v>
      </c>
      <c r="E92" s="33">
        <f>15000</f>
        <v>15000</v>
      </c>
      <c r="F92" s="36"/>
      <c r="G92" s="33">
        <v>0</v>
      </c>
      <c r="H92" s="36"/>
      <c r="I92" s="23"/>
      <c r="K92" s="115"/>
    </row>
    <row r="93" spans="1:11" s="30" customFormat="1" ht="21" customHeight="1">
      <c r="A93" s="14" t="s">
        <v>239</v>
      </c>
      <c r="B93" s="2" t="s">
        <v>110</v>
      </c>
      <c r="C93" s="2" t="s">
        <v>183</v>
      </c>
      <c r="D93" s="2" t="s">
        <v>157</v>
      </c>
      <c r="E93" s="33">
        <f>E101+E105+E96+E98+E94</f>
        <v>42554.29999999999</v>
      </c>
      <c r="F93" s="36">
        <f>F101+F105+F96</f>
        <v>0</v>
      </c>
      <c r="G93" s="33">
        <f>G101+G105+G96+G98+G94</f>
        <v>14684.300000000001</v>
      </c>
      <c r="H93" s="36">
        <f>H101+H105+H96</f>
        <v>0</v>
      </c>
      <c r="I93" s="23"/>
      <c r="K93" s="115"/>
    </row>
    <row r="94" spans="1:11" s="30" customFormat="1" ht="26.25" customHeight="1">
      <c r="A94" s="47" t="s">
        <v>100</v>
      </c>
      <c r="B94" s="2" t="s">
        <v>110</v>
      </c>
      <c r="C94" s="2" t="s">
        <v>54</v>
      </c>
      <c r="D94" s="2" t="s">
        <v>157</v>
      </c>
      <c r="E94" s="33">
        <f>E95</f>
        <v>12.7</v>
      </c>
      <c r="F94" s="36"/>
      <c r="G94" s="33">
        <f>G95</f>
        <v>12.7</v>
      </c>
      <c r="H94" s="36"/>
      <c r="I94" s="23"/>
      <c r="K94" s="115"/>
    </row>
    <row r="95" spans="1:11" s="30" customFormat="1" ht="25.5" customHeight="1">
      <c r="A95" s="8" t="s">
        <v>442</v>
      </c>
      <c r="B95" s="2" t="s">
        <v>110</v>
      </c>
      <c r="C95" s="2" t="s">
        <v>54</v>
      </c>
      <c r="D95" s="2" t="s">
        <v>441</v>
      </c>
      <c r="E95" s="33">
        <f>6.2+4+2.5</f>
        <v>12.7</v>
      </c>
      <c r="F95" s="36"/>
      <c r="G95" s="33">
        <v>12.7</v>
      </c>
      <c r="H95" s="36"/>
      <c r="I95" s="23"/>
      <c r="K95" s="115"/>
    </row>
    <row r="96" spans="1:11" s="30" customFormat="1" ht="15.75" customHeight="1">
      <c r="A96" s="13" t="s">
        <v>91</v>
      </c>
      <c r="B96" s="2" t="s">
        <v>110</v>
      </c>
      <c r="C96" s="2" t="s">
        <v>92</v>
      </c>
      <c r="D96" s="2" t="s">
        <v>157</v>
      </c>
      <c r="E96" s="33">
        <f>E97</f>
        <v>11087.5</v>
      </c>
      <c r="F96" s="36">
        <f>F97</f>
        <v>0</v>
      </c>
      <c r="G96" s="33">
        <f>G97</f>
        <v>1795.6</v>
      </c>
      <c r="H96" s="36">
        <f>H97</f>
        <v>0</v>
      </c>
      <c r="I96" s="23"/>
      <c r="K96" s="115"/>
    </row>
    <row r="97" spans="1:11" s="30" customFormat="1" ht="28.5" customHeight="1">
      <c r="A97" s="10" t="s">
        <v>24</v>
      </c>
      <c r="B97" s="2" t="s">
        <v>110</v>
      </c>
      <c r="C97" s="2" t="s">
        <v>92</v>
      </c>
      <c r="D97" s="2" t="s">
        <v>23</v>
      </c>
      <c r="E97" s="33">
        <f>4090-500-80+17577.5-10000</f>
        <v>11087.5</v>
      </c>
      <c r="F97" s="36">
        <v>0</v>
      </c>
      <c r="G97" s="33">
        <v>1795.6</v>
      </c>
      <c r="H97" s="36">
        <v>0</v>
      </c>
      <c r="I97" s="23"/>
      <c r="K97" s="115"/>
    </row>
    <row r="98" spans="1:11" s="30" customFormat="1" ht="25.5">
      <c r="A98" s="8" t="s">
        <v>87</v>
      </c>
      <c r="B98" s="2" t="s">
        <v>110</v>
      </c>
      <c r="C98" s="2" t="s">
        <v>86</v>
      </c>
      <c r="D98" s="2" t="s">
        <v>157</v>
      </c>
      <c r="E98" s="33">
        <f>E99+E100</f>
        <v>2804.2</v>
      </c>
      <c r="F98" s="36"/>
      <c r="G98" s="33">
        <f>G99+G100</f>
        <v>293.8</v>
      </c>
      <c r="H98" s="36"/>
      <c r="I98" s="23"/>
      <c r="K98" s="115"/>
    </row>
    <row r="99" spans="1:11" s="30" customFormat="1" ht="28.5" customHeight="1">
      <c r="A99" s="10" t="s">
        <v>24</v>
      </c>
      <c r="B99" s="2" t="s">
        <v>110</v>
      </c>
      <c r="C99" s="2" t="s">
        <v>86</v>
      </c>
      <c r="D99" s="2" t="s">
        <v>23</v>
      </c>
      <c r="E99" s="33">
        <f>250+1000+500+930+85-24.3</f>
        <v>2740.7</v>
      </c>
      <c r="F99" s="36"/>
      <c r="G99" s="33">
        <v>254.6</v>
      </c>
      <c r="H99" s="36"/>
      <c r="I99" s="23"/>
      <c r="K99" s="115"/>
    </row>
    <row r="100" spans="1:11" s="30" customFormat="1" ht="28.5" customHeight="1">
      <c r="A100" s="8" t="s">
        <v>442</v>
      </c>
      <c r="B100" s="2" t="s">
        <v>110</v>
      </c>
      <c r="C100" s="2" t="s">
        <v>86</v>
      </c>
      <c r="D100" s="2" t="s">
        <v>441</v>
      </c>
      <c r="E100" s="33">
        <f>24.2+15+24.3</f>
        <v>63.5</v>
      </c>
      <c r="F100" s="36"/>
      <c r="G100" s="33">
        <v>39.2</v>
      </c>
      <c r="H100" s="36"/>
      <c r="I100" s="23"/>
      <c r="K100" s="115"/>
    </row>
    <row r="101" spans="1:11" s="30" customFormat="1" ht="30" customHeight="1">
      <c r="A101" s="13" t="s">
        <v>39</v>
      </c>
      <c r="B101" s="2" t="s">
        <v>110</v>
      </c>
      <c r="C101" s="2" t="s">
        <v>41</v>
      </c>
      <c r="D101" s="2" t="s">
        <v>157</v>
      </c>
      <c r="E101" s="33">
        <f>E102</f>
        <v>2590</v>
      </c>
      <c r="F101" s="36"/>
      <c r="G101" s="33">
        <f>G102</f>
        <v>99.5</v>
      </c>
      <c r="H101" s="36"/>
      <c r="I101" s="23"/>
      <c r="K101" s="115"/>
    </row>
    <row r="102" spans="1:11" s="30" customFormat="1" ht="21.75" customHeight="1">
      <c r="A102" s="13" t="s">
        <v>40</v>
      </c>
      <c r="B102" s="2" t="s">
        <v>110</v>
      </c>
      <c r="C102" s="2" t="s">
        <v>42</v>
      </c>
      <c r="D102" s="2" t="s">
        <v>157</v>
      </c>
      <c r="E102" s="33">
        <f>E103</f>
        <v>2590</v>
      </c>
      <c r="F102" s="36"/>
      <c r="G102" s="33">
        <f>G103</f>
        <v>99.5</v>
      </c>
      <c r="H102" s="36"/>
      <c r="I102" s="23"/>
      <c r="K102" s="115"/>
    </row>
    <row r="103" spans="1:11" s="30" customFormat="1" ht="30" customHeight="1">
      <c r="A103" s="13" t="s">
        <v>68</v>
      </c>
      <c r="B103" s="2" t="s">
        <v>110</v>
      </c>
      <c r="C103" s="2" t="s">
        <v>42</v>
      </c>
      <c r="D103" s="2" t="s">
        <v>157</v>
      </c>
      <c r="E103" s="33">
        <f>E104</f>
        <v>2590</v>
      </c>
      <c r="F103" s="36"/>
      <c r="G103" s="33">
        <f>G104</f>
        <v>99.5</v>
      </c>
      <c r="H103" s="36"/>
      <c r="I103" s="23"/>
      <c r="K103" s="115"/>
    </row>
    <row r="104" spans="1:11" s="30" customFormat="1" ht="27.75" customHeight="1">
      <c r="A104" s="10" t="s">
        <v>24</v>
      </c>
      <c r="B104" s="2" t="s">
        <v>110</v>
      </c>
      <c r="C104" s="2" t="s">
        <v>66</v>
      </c>
      <c r="D104" s="2" t="s">
        <v>23</v>
      </c>
      <c r="E104" s="33">
        <f>2590</f>
        <v>2590</v>
      </c>
      <c r="F104" s="36"/>
      <c r="G104" s="33">
        <v>99.5</v>
      </c>
      <c r="H104" s="36"/>
      <c r="I104" s="23"/>
      <c r="K104" s="115"/>
    </row>
    <row r="105" spans="1:11" s="30" customFormat="1" ht="25.5">
      <c r="A105" s="13" t="s">
        <v>90</v>
      </c>
      <c r="B105" s="2" t="s">
        <v>110</v>
      </c>
      <c r="C105" s="2" t="s">
        <v>62</v>
      </c>
      <c r="D105" s="2" t="s">
        <v>157</v>
      </c>
      <c r="E105" s="33">
        <f>E106</f>
        <v>26059.899999999998</v>
      </c>
      <c r="F105" s="36"/>
      <c r="G105" s="33">
        <f>G106</f>
        <v>12482.7</v>
      </c>
      <c r="H105" s="36"/>
      <c r="I105" s="23"/>
      <c r="K105" s="115"/>
    </row>
    <row r="106" spans="1:11" s="30" customFormat="1" ht="25.5">
      <c r="A106" s="13" t="s">
        <v>197</v>
      </c>
      <c r="B106" s="2" t="s">
        <v>110</v>
      </c>
      <c r="C106" s="2" t="s">
        <v>63</v>
      </c>
      <c r="D106" s="2" t="s">
        <v>157</v>
      </c>
      <c r="E106" s="33">
        <f>E109+E107</f>
        <v>26059.899999999998</v>
      </c>
      <c r="F106" s="36"/>
      <c r="G106" s="33">
        <f>G109+G107</f>
        <v>12482.7</v>
      </c>
      <c r="H106" s="36"/>
      <c r="I106" s="23"/>
      <c r="K106" s="115"/>
    </row>
    <row r="107" spans="1:11" s="30" customFormat="1" ht="18" customHeight="1">
      <c r="A107" s="47" t="s">
        <v>351</v>
      </c>
      <c r="B107" s="2" t="s">
        <v>110</v>
      </c>
      <c r="C107" s="2" t="s">
        <v>353</v>
      </c>
      <c r="D107" s="2" t="s">
        <v>157</v>
      </c>
      <c r="E107" s="33">
        <f>E108</f>
        <v>446.3</v>
      </c>
      <c r="F107" s="36"/>
      <c r="G107" s="33">
        <f>G108</f>
        <v>0</v>
      </c>
      <c r="H107" s="36"/>
      <c r="I107" s="23"/>
      <c r="K107" s="115"/>
    </row>
    <row r="108" spans="1:11" s="30" customFormat="1" ht="29.25" customHeight="1">
      <c r="A108" s="47" t="s">
        <v>24</v>
      </c>
      <c r="B108" s="2" t="s">
        <v>110</v>
      </c>
      <c r="C108" s="2" t="s">
        <v>353</v>
      </c>
      <c r="D108" s="2" t="s">
        <v>23</v>
      </c>
      <c r="E108" s="33">
        <f>446.3</f>
        <v>446.3</v>
      </c>
      <c r="F108" s="36"/>
      <c r="G108" s="33">
        <v>0</v>
      </c>
      <c r="H108" s="36"/>
      <c r="I108" s="23"/>
      <c r="K108" s="115"/>
    </row>
    <row r="109" spans="1:11" s="30" customFormat="1" ht="28.5" customHeight="1">
      <c r="A109" s="12" t="s">
        <v>64</v>
      </c>
      <c r="B109" s="2" t="s">
        <v>110</v>
      </c>
      <c r="C109" s="1" t="s">
        <v>65</v>
      </c>
      <c r="D109" s="1" t="s">
        <v>157</v>
      </c>
      <c r="E109" s="34">
        <f>E110+E111+E112+E113+E114</f>
        <v>25613.6</v>
      </c>
      <c r="F109" s="34"/>
      <c r="G109" s="34">
        <f>G110+G111+G112+G113+G114</f>
        <v>12482.7</v>
      </c>
      <c r="H109" s="34"/>
      <c r="I109" s="23"/>
      <c r="K109" s="115"/>
    </row>
    <row r="110" spans="1:11" s="30" customFormat="1" ht="16.5" customHeight="1">
      <c r="A110" s="25" t="s">
        <v>224</v>
      </c>
      <c r="B110" s="2" t="s">
        <v>110</v>
      </c>
      <c r="C110" s="1" t="s">
        <v>65</v>
      </c>
      <c r="D110" s="1" t="s">
        <v>308</v>
      </c>
      <c r="E110" s="34">
        <f>15815</f>
        <v>15815</v>
      </c>
      <c r="F110" s="34"/>
      <c r="G110" s="34">
        <v>7155.8</v>
      </c>
      <c r="H110" s="34"/>
      <c r="I110" s="23"/>
      <c r="K110" s="115"/>
    </row>
    <row r="111" spans="1:11" s="30" customFormat="1" ht="27.75" customHeight="1">
      <c r="A111" s="47" t="s">
        <v>127</v>
      </c>
      <c r="B111" s="2" t="s">
        <v>110</v>
      </c>
      <c r="C111" s="1" t="s">
        <v>65</v>
      </c>
      <c r="D111" s="2" t="s">
        <v>126</v>
      </c>
      <c r="E111" s="34">
        <f>6388-4974-420+100</f>
        <v>1094</v>
      </c>
      <c r="F111" s="34"/>
      <c r="G111" s="34">
        <v>139.6</v>
      </c>
      <c r="H111" s="34"/>
      <c r="I111" s="23"/>
      <c r="K111" s="115"/>
    </row>
    <row r="112" spans="1:11" s="30" customFormat="1" ht="28.5" customHeight="1">
      <c r="A112" s="47" t="s">
        <v>24</v>
      </c>
      <c r="B112" s="2" t="s">
        <v>110</v>
      </c>
      <c r="C112" s="1" t="s">
        <v>65</v>
      </c>
      <c r="D112" s="1" t="s">
        <v>23</v>
      </c>
      <c r="E112" s="34">
        <f>6547-3500+4974+63.6+420-100</f>
        <v>8404.6</v>
      </c>
      <c r="F112" s="34"/>
      <c r="G112" s="34">
        <v>5099.5</v>
      </c>
      <c r="H112" s="34"/>
      <c r="I112" s="23"/>
      <c r="K112" s="115"/>
    </row>
    <row r="113" spans="1:11" s="30" customFormat="1" ht="25.5">
      <c r="A113" s="47" t="s">
        <v>309</v>
      </c>
      <c r="B113" s="2" t="s">
        <v>110</v>
      </c>
      <c r="C113" s="1" t="s">
        <v>65</v>
      </c>
      <c r="D113" s="2" t="s">
        <v>313</v>
      </c>
      <c r="E113" s="34">
        <f>100</f>
        <v>100</v>
      </c>
      <c r="F113" s="34"/>
      <c r="G113" s="34">
        <v>51.9</v>
      </c>
      <c r="H113" s="34"/>
      <c r="I113" s="23"/>
      <c r="K113" s="115"/>
    </row>
    <row r="114" spans="1:11" s="30" customFormat="1" ht="24" customHeight="1">
      <c r="A114" s="100" t="s">
        <v>310</v>
      </c>
      <c r="B114" s="2" t="s">
        <v>110</v>
      </c>
      <c r="C114" s="1" t="s">
        <v>65</v>
      </c>
      <c r="D114" s="2" t="s">
        <v>314</v>
      </c>
      <c r="E114" s="34">
        <f>200</f>
        <v>200</v>
      </c>
      <c r="F114" s="34"/>
      <c r="G114" s="34">
        <v>35.9</v>
      </c>
      <c r="H114" s="34"/>
      <c r="I114" s="23"/>
      <c r="K114" s="115"/>
    </row>
    <row r="115" spans="1:11" s="85" customFormat="1" ht="19.5" customHeight="1">
      <c r="A115" s="65" t="s">
        <v>245</v>
      </c>
      <c r="B115" s="75" t="s">
        <v>246</v>
      </c>
      <c r="C115" s="75" t="s">
        <v>183</v>
      </c>
      <c r="D115" s="75" t="s">
        <v>157</v>
      </c>
      <c r="E115" s="71">
        <f>E116</f>
        <v>1075</v>
      </c>
      <c r="F115" s="71"/>
      <c r="G115" s="71">
        <f>G116</f>
        <v>114.8</v>
      </c>
      <c r="H115" s="71"/>
      <c r="I115" s="88">
        <f>G115/E115*100</f>
        <v>10.679069767441861</v>
      </c>
      <c r="K115" s="115"/>
    </row>
    <row r="116" spans="1:11" s="30" customFormat="1" ht="18.75" customHeight="1">
      <c r="A116" s="11" t="s">
        <v>178</v>
      </c>
      <c r="B116" s="2" t="s">
        <v>266</v>
      </c>
      <c r="C116" s="2" t="s">
        <v>183</v>
      </c>
      <c r="D116" s="2" t="s">
        <v>157</v>
      </c>
      <c r="E116" s="36">
        <f>E117</f>
        <v>1075</v>
      </c>
      <c r="F116" s="36"/>
      <c r="G116" s="36">
        <f>G117</f>
        <v>114.8</v>
      </c>
      <c r="H116" s="36"/>
      <c r="I116" s="23"/>
      <c r="K116" s="115"/>
    </row>
    <row r="117" spans="1:11" s="30" customFormat="1" ht="25.5">
      <c r="A117" s="12" t="s">
        <v>251</v>
      </c>
      <c r="B117" s="2" t="s">
        <v>266</v>
      </c>
      <c r="C117" s="2" t="s">
        <v>252</v>
      </c>
      <c r="D117" s="2" t="s">
        <v>157</v>
      </c>
      <c r="E117" s="36">
        <f>E118</f>
        <v>1075</v>
      </c>
      <c r="F117" s="36"/>
      <c r="G117" s="36">
        <f>G118</f>
        <v>114.8</v>
      </c>
      <c r="H117" s="36"/>
      <c r="I117" s="23"/>
      <c r="K117" s="115"/>
    </row>
    <row r="118" spans="1:11" s="30" customFormat="1" ht="25.5">
      <c r="A118" s="8" t="s">
        <v>253</v>
      </c>
      <c r="B118" s="2" t="s">
        <v>266</v>
      </c>
      <c r="C118" s="2" t="s">
        <v>267</v>
      </c>
      <c r="D118" s="2" t="s">
        <v>157</v>
      </c>
      <c r="E118" s="36">
        <f>E119</f>
        <v>1075</v>
      </c>
      <c r="F118" s="36"/>
      <c r="G118" s="36">
        <f>G119</f>
        <v>114.8</v>
      </c>
      <c r="H118" s="36"/>
      <c r="I118" s="23"/>
      <c r="K118" s="115"/>
    </row>
    <row r="119" spans="1:11" s="30" customFormat="1" ht="28.5" customHeight="1">
      <c r="A119" s="10" t="s">
        <v>24</v>
      </c>
      <c r="B119" s="2" t="s">
        <v>266</v>
      </c>
      <c r="C119" s="2" t="s">
        <v>267</v>
      </c>
      <c r="D119" s="2" t="s">
        <v>23</v>
      </c>
      <c r="E119" s="36">
        <f>1075</f>
        <v>1075</v>
      </c>
      <c r="F119" s="36"/>
      <c r="G119" s="36">
        <v>114.8</v>
      </c>
      <c r="H119" s="36"/>
      <c r="I119" s="23"/>
      <c r="K119" s="115"/>
    </row>
    <row r="120" spans="1:11" s="85" customFormat="1" ht="32.25" customHeight="1">
      <c r="A120" s="65" t="s">
        <v>189</v>
      </c>
      <c r="B120" s="75" t="s">
        <v>190</v>
      </c>
      <c r="C120" s="75" t="s">
        <v>183</v>
      </c>
      <c r="D120" s="75" t="s">
        <v>157</v>
      </c>
      <c r="E120" s="71">
        <f>E121+E130</f>
        <v>6350</v>
      </c>
      <c r="F120" s="71">
        <f>F121</f>
        <v>0</v>
      </c>
      <c r="G120" s="71">
        <f>G121+G130</f>
        <v>697.6</v>
      </c>
      <c r="H120" s="71">
        <f>H121</f>
        <v>0</v>
      </c>
      <c r="I120" s="88">
        <f>G120/E120*100</f>
        <v>10.985826771653544</v>
      </c>
      <c r="K120" s="115"/>
    </row>
    <row r="121" spans="1:11" s="30" customFormat="1" ht="38.25">
      <c r="A121" s="20" t="s">
        <v>46</v>
      </c>
      <c r="B121" s="2" t="s">
        <v>191</v>
      </c>
      <c r="C121" s="2" t="s">
        <v>183</v>
      </c>
      <c r="D121" s="1" t="s">
        <v>157</v>
      </c>
      <c r="E121" s="34">
        <f>E122+E126</f>
        <v>4090</v>
      </c>
      <c r="F121" s="34"/>
      <c r="G121" s="34">
        <f>G122+G126</f>
        <v>697.6</v>
      </c>
      <c r="H121" s="34"/>
      <c r="I121" s="23"/>
      <c r="K121" s="115"/>
    </row>
    <row r="122" spans="1:11" s="30" customFormat="1" ht="25.5">
      <c r="A122" s="19" t="s">
        <v>243</v>
      </c>
      <c r="B122" s="4" t="s">
        <v>191</v>
      </c>
      <c r="C122" s="4" t="s">
        <v>242</v>
      </c>
      <c r="D122" s="4" t="s">
        <v>157</v>
      </c>
      <c r="E122" s="39">
        <f>E123</f>
        <v>2610</v>
      </c>
      <c r="F122" s="39"/>
      <c r="G122" s="39">
        <f>G123</f>
        <v>495.5</v>
      </c>
      <c r="H122" s="39"/>
      <c r="I122" s="23"/>
      <c r="K122" s="115"/>
    </row>
    <row r="123" spans="1:11" s="30" customFormat="1" ht="38.25">
      <c r="A123" s="17" t="s">
        <v>241</v>
      </c>
      <c r="B123" s="4" t="s">
        <v>191</v>
      </c>
      <c r="C123" s="4" t="s">
        <v>268</v>
      </c>
      <c r="D123" s="4" t="s">
        <v>157</v>
      </c>
      <c r="E123" s="39">
        <f>E125+E124</f>
        <v>2610</v>
      </c>
      <c r="F123" s="39"/>
      <c r="G123" s="39">
        <f>G125+G124</f>
        <v>495.5</v>
      </c>
      <c r="H123" s="39"/>
      <c r="I123" s="23"/>
      <c r="K123" s="115"/>
    </row>
    <row r="124" spans="1:11" s="30" customFormat="1" ht="28.5" customHeight="1">
      <c r="A124" s="10" t="s">
        <v>127</v>
      </c>
      <c r="B124" s="4" t="s">
        <v>191</v>
      </c>
      <c r="C124" s="4" t="s">
        <v>268</v>
      </c>
      <c r="D124" s="4" t="s">
        <v>126</v>
      </c>
      <c r="E124" s="39">
        <v>89.3</v>
      </c>
      <c r="F124" s="39"/>
      <c r="G124" s="39">
        <v>10.6</v>
      </c>
      <c r="H124" s="39"/>
      <c r="I124" s="23"/>
      <c r="K124" s="115"/>
    </row>
    <row r="125" spans="1:11" s="30" customFormat="1" ht="31.5" customHeight="1">
      <c r="A125" s="10" t="s">
        <v>24</v>
      </c>
      <c r="B125" s="4" t="s">
        <v>191</v>
      </c>
      <c r="C125" s="4" t="s">
        <v>268</v>
      </c>
      <c r="D125" s="4" t="s">
        <v>23</v>
      </c>
      <c r="E125" s="39">
        <f>1310+1300-89.3</f>
        <v>2520.7</v>
      </c>
      <c r="F125" s="39"/>
      <c r="G125" s="39">
        <v>484.9</v>
      </c>
      <c r="H125" s="39"/>
      <c r="I125" s="23"/>
      <c r="K125" s="115"/>
    </row>
    <row r="126" spans="1:11" s="30" customFormat="1" ht="18.75" customHeight="1">
      <c r="A126" s="8" t="s">
        <v>192</v>
      </c>
      <c r="B126" s="2" t="s">
        <v>191</v>
      </c>
      <c r="C126" s="2" t="s">
        <v>193</v>
      </c>
      <c r="D126" s="2" t="s">
        <v>157</v>
      </c>
      <c r="E126" s="36">
        <f>E127</f>
        <v>1480</v>
      </c>
      <c r="F126" s="36"/>
      <c r="G126" s="36">
        <f>G127</f>
        <v>202.1</v>
      </c>
      <c r="H126" s="36"/>
      <c r="I126" s="23"/>
      <c r="K126" s="115"/>
    </row>
    <row r="127" spans="1:11" s="30" customFormat="1" ht="27" customHeight="1">
      <c r="A127" s="18" t="s">
        <v>269</v>
      </c>
      <c r="B127" s="2" t="s">
        <v>191</v>
      </c>
      <c r="C127" s="2" t="s">
        <v>270</v>
      </c>
      <c r="D127" s="2" t="s">
        <v>157</v>
      </c>
      <c r="E127" s="36">
        <f>E128+E129</f>
        <v>1480</v>
      </c>
      <c r="F127" s="36"/>
      <c r="G127" s="36">
        <f>G128+G129</f>
        <v>202.1</v>
      </c>
      <c r="H127" s="36"/>
      <c r="I127" s="23"/>
      <c r="K127" s="115"/>
    </row>
    <row r="128" spans="1:11" s="30" customFormat="1" ht="27.75" customHeight="1">
      <c r="A128" s="10" t="s">
        <v>127</v>
      </c>
      <c r="B128" s="2" t="s">
        <v>191</v>
      </c>
      <c r="C128" s="2" t="s">
        <v>270</v>
      </c>
      <c r="D128" s="2" t="s">
        <v>126</v>
      </c>
      <c r="E128" s="36">
        <v>1031.1</v>
      </c>
      <c r="F128" s="36"/>
      <c r="G128" s="36">
        <v>97.5</v>
      </c>
      <c r="H128" s="36"/>
      <c r="I128" s="23"/>
      <c r="K128" s="115"/>
    </row>
    <row r="129" spans="1:11" s="30" customFormat="1" ht="28.5" customHeight="1">
      <c r="A129" s="10" t="s">
        <v>24</v>
      </c>
      <c r="B129" s="2" t="s">
        <v>191</v>
      </c>
      <c r="C129" s="2" t="s">
        <v>270</v>
      </c>
      <c r="D129" s="2" t="s">
        <v>23</v>
      </c>
      <c r="E129" s="36">
        <f>1540-60-1031.1</f>
        <v>448.9000000000001</v>
      </c>
      <c r="F129" s="36"/>
      <c r="G129" s="36">
        <v>104.6</v>
      </c>
      <c r="H129" s="36"/>
      <c r="I129" s="23"/>
      <c r="K129" s="115"/>
    </row>
    <row r="130" spans="1:11" s="30" customFormat="1" ht="29.25" customHeight="1">
      <c r="A130" s="42" t="s">
        <v>98</v>
      </c>
      <c r="B130" s="2" t="s">
        <v>99</v>
      </c>
      <c r="C130" s="2" t="s">
        <v>183</v>
      </c>
      <c r="D130" s="2" t="s">
        <v>157</v>
      </c>
      <c r="E130" s="33">
        <f>E131+E134</f>
        <v>2260</v>
      </c>
      <c r="F130" s="36"/>
      <c r="G130" s="33">
        <f>G131+G134</f>
        <v>0</v>
      </c>
      <c r="H130" s="36"/>
      <c r="I130" s="23"/>
      <c r="K130" s="115"/>
    </row>
    <row r="131" spans="1:11" s="30" customFormat="1" ht="21" customHeight="1">
      <c r="A131" s="8" t="s">
        <v>122</v>
      </c>
      <c r="B131" s="2" t="s">
        <v>99</v>
      </c>
      <c r="C131" s="2" t="s">
        <v>123</v>
      </c>
      <c r="D131" s="2" t="s">
        <v>157</v>
      </c>
      <c r="E131" s="40">
        <f>E132</f>
        <v>2000</v>
      </c>
      <c r="F131" s="2"/>
      <c r="G131" s="40">
        <f>G132</f>
        <v>0</v>
      </c>
      <c r="H131" s="2"/>
      <c r="I131" s="23"/>
      <c r="K131" s="115"/>
    </row>
    <row r="132" spans="1:11" s="30" customFormat="1" ht="65.25" customHeight="1">
      <c r="A132" s="8" t="s">
        <v>325</v>
      </c>
      <c r="B132" s="2" t="s">
        <v>99</v>
      </c>
      <c r="C132" s="5" t="s">
        <v>363</v>
      </c>
      <c r="D132" s="5" t="s">
        <v>157</v>
      </c>
      <c r="E132" s="40">
        <f>E133</f>
        <v>2000</v>
      </c>
      <c r="F132" s="2"/>
      <c r="G132" s="40">
        <f>G133</f>
        <v>0</v>
      </c>
      <c r="H132" s="2"/>
      <c r="I132" s="23"/>
      <c r="K132" s="115"/>
    </row>
    <row r="133" spans="1:11" s="30" customFormat="1" ht="30" customHeight="1">
      <c r="A133" s="10" t="s">
        <v>24</v>
      </c>
      <c r="B133" s="2" t="s">
        <v>99</v>
      </c>
      <c r="C133" s="5" t="s">
        <v>363</v>
      </c>
      <c r="D133" s="5" t="s">
        <v>23</v>
      </c>
      <c r="E133" s="40">
        <f>2000</f>
        <v>2000</v>
      </c>
      <c r="F133" s="2"/>
      <c r="G133" s="40">
        <v>0</v>
      </c>
      <c r="H133" s="2"/>
      <c r="I133" s="23"/>
      <c r="K133" s="115"/>
    </row>
    <row r="134" spans="1:11" s="30" customFormat="1" ht="20.25" customHeight="1">
      <c r="A134" s="8" t="s">
        <v>35</v>
      </c>
      <c r="B134" s="2" t="s">
        <v>99</v>
      </c>
      <c r="C134" s="5" t="s">
        <v>36</v>
      </c>
      <c r="D134" s="6" t="s">
        <v>157</v>
      </c>
      <c r="E134" s="40">
        <f>E135+E137</f>
        <v>260</v>
      </c>
      <c r="F134" s="2"/>
      <c r="G134" s="40">
        <f>G135+G137</f>
        <v>0</v>
      </c>
      <c r="H134" s="2"/>
      <c r="I134" s="23"/>
      <c r="K134" s="115"/>
    </row>
    <row r="135" spans="1:11" s="30" customFormat="1" ht="54" customHeight="1">
      <c r="A135" s="46" t="s">
        <v>338</v>
      </c>
      <c r="B135" s="2" t="s">
        <v>99</v>
      </c>
      <c r="C135" s="5" t="s">
        <v>339</v>
      </c>
      <c r="D135" s="6" t="s">
        <v>157</v>
      </c>
      <c r="E135" s="40">
        <f>E136</f>
        <v>160</v>
      </c>
      <c r="F135" s="2"/>
      <c r="G135" s="40">
        <f>G136</f>
        <v>0</v>
      </c>
      <c r="H135" s="2"/>
      <c r="I135" s="23"/>
      <c r="K135" s="115"/>
    </row>
    <row r="136" spans="1:11" s="30" customFormat="1" ht="32.25" customHeight="1">
      <c r="A136" s="10" t="s">
        <v>24</v>
      </c>
      <c r="B136" s="2" t="s">
        <v>99</v>
      </c>
      <c r="C136" s="5" t="s">
        <v>339</v>
      </c>
      <c r="D136" s="6" t="s">
        <v>23</v>
      </c>
      <c r="E136" s="40">
        <f>660-500</f>
        <v>160</v>
      </c>
      <c r="F136" s="2"/>
      <c r="G136" s="40">
        <v>0</v>
      </c>
      <c r="H136" s="2"/>
      <c r="I136" s="23"/>
      <c r="K136" s="115"/>
    </row>
    <row r="137" spans="1:11" s="30" customFormat="1" ht="56.25" customHeight="1">
      <c r="A137" s="46" t="s">
        <v>341</v>
      </c>
      <c r="B137" s="2" t="s">
        <v>99</v>
      </c>
      <c r="C137" s="5" t="s">
        <v>340</v>
      </c>
      <c r="D137" s="6" t="s">
        <v>157</v>
      </c>
      <c r="E137" s="40">
        <f>E138</f>
        <v>100</v>
      </c>
      <c r="F137" s="2"/>
      <c r="G137" s="40">
        <f>G138</f>
        <v>0</v>
      </c>
      <c r="H137" s="2"/>
      <c r="I137" s="23"/>
      <c r="K137" s="115"/>
    </row>
    <row r="138" spans="1:11" s="30" customFormat="1" ht="29.25" customHeight="1">
      <c r="A138" s="10" t="s">
        <v>24</v>
      </c>
      <c r="B138" s="2" t="s">
        <v>99</v>
      </c>
      <c r="C138" s="5" t="s">
        <v>340</v>
      </c>
      <c r="D138" s="6" t="s">
        <v>23</v>
      </c>
      <c r="E138" s="40">
        <f>340-240</f>
        <v>100</v>
      </c>
      <c r="F138" s="2"/>
      <c r="G138" s="40">
        <v>0</v>
      </c>
      <c r="H138" s="2"/>
      <c r="I138" s="23"/>
      <c r="K138" s="115"/>
    </row>
    <row r="139" spans="1:11" s="85" customFormat="1" ht="18" customHeight="1">
      <c r="A139" s="86" t="s">
        <v>194</v>
      </c>
      <c r="B139" s="75" t="s">
        <v>195</v>
      </c>
      <c r="C139" s="75" t="s">
        <v>183</v>
      </c>
      <c r="D139" s="75" t="s">
        <v>157</v>
      </c>
      <c r="E139" s="71">
        <f>E140+E146</f>
        <v>87124.1</v>
      </c>
      <c r="F139" s="71">
        <f>F140+F146</f>
        <v>0</v>
      </c>
      <c r="G139" s="71">
        <f>G140+G146</f>
        <v>32679.899999999998</v>
      </c>
      <c r="H139" s="71">
        <f>H140+H146</f>
        <v>0</v>
      </c>
      <c r="I139" s="88">
        <f>G139/E139*100</f>
        <v>37.50959837748682</v>
      </c>
      <c r="K139" s="115"/>
    </row>
    <row r="140" spans="1:11" s="30" customFormat="1" ht="17.25" customHeight="1">
      <c r="A140" s="14" t="s">
        <v>254</v>
      </c>
      <c r="B140" s="5" t="s">
        <v>255</v>
      </c>
      <c r="C140" s="5" t="s">
        <v>183</v>
      </c>
      <c r="D140" s="5" t="s">
        <v>157</v>
      </c>
      <c r="E140" s="40">
        <f aca="true" t="shared" si="0" ref="E140:H141">E141</f>
        <v>65000</v>
      </c>
      <c r="F140" s="40">
        <f t="shared" si="0"/>
        <v>0</v>
      </c>
      <c r="G140" s="40">
        <f t="shared" si="0"/>
        <v>28131.1</v>
      </c>
      <c r="H140" s="40">
        <f t="shared" si="0"/>
        <v>0</v>
      </c>
      <c r="I140" s="23"/>
      <c r="K140" s="115"/>
    </row>
    <row r="141" spans="1:11" s="30" customFormat="1" ht="16.5" customHeight="1">
      <c r="A141" s="13" t="s">
        <v>47</v>
      </c>
      <c r="B141" s="5" t="s">
        <v>255</v>
      </c>
      <c r="C141" s="5" t="s">
        <v>48</v>
      </c>
      <c r="D141" s="5" t="s">
        <v>157</v>
      </c>
      <c r="E141" s="40">
        <f t="shared" si="0"/>
        <v>65000</v>
      </c>
      <c r="F141" s="40">
        <f t="shared" si="0"/>
        <v>0</v>
      </c>
      <c r="G141" s="40">
        <f t="shared" si="0"/>
        <v>28131.1</v>
      </c>
      <c r="H141" s="40">
        <f t="shared" si="0"/>
        <v>0</v>
      </c>
      <c r="I141" s="23"/>
      <c r="K141" s="115"/>
    </row>
    <row r="142" spans="1:11" s="30" customFormat="1" ht="29.25" customHeight="1">
      <c r="A142" s="13" t="s">
        <v>274</v>
      </c>
      <c r="B142" s="5" t="s">
        <v>255</v>
      </c>
      <c r="C142" s="5" t="s">
        <v>307</v>
      </c>
      <c r="D142" s="5" t="s">
        <v>157</v>
      </c>
      <c r="E142" s="40">
        <f>E143</f>
        <v>65000</v>
      </c>
      <c r="F142" s="40"/>
      <c r="G142" s="40">
        <f>G143</f>
        <v>28131.1</v>
      </c>
      <c r="H142" s="40"/>
      <c r="I142" s="23"/>
      <c r="K142" s="115"/>
    </row>
    <row r="143" spans="1:11" s="30" customFormat="1" ht="51.75" customHeight="1">
      <c r="A143" s="13" t="s">
        <v>318</v>
      </c>
      <c r="B143" s="5" t="s">
        <v>255</v>
      </c>
      <c r="C143" s="5" t="s">
        <v>49</v>
      </c>
      <c r="D143" s="5" t="s">
        <v>157</v>
      </c>
      <c r="E143" s="40">
        <f>E144+E145</f>
        <v>65000</v>
      </c>
      <c r="F143" s="40"/>
      <c r="G143" s="40">
        <f>G144+G145</f>
        <v>28131.1</v>
      </c>
      <c r="H143" s="40"/>
      <c r="I143" s="23"/>
      <c r="K143" s="115"/>
    </row>
    <row r="144" spans="1:11" s="30" customFormat="1" ht="30" customHeight="1">
      <c r="A144" s="10" t="s">
        <v>24</v>
      </c>
      <c r="B144" s="5" t="s">
        <v>255</v>
      </c>
      <c r="C144" s="5" t="s">
        <v>49</v>
      </c>
      <c r="D144" s="5" t="s">
        <v>23</v>
      </c>
      <c r="E144" s="40">
        <f>50000+14488.6</f>
        <v>64488.6</v>
      </c>
      <c r="F144" s="40"/>
      <c r="G144" s="40">
        <v>28131.1</v>
      </c>
      <c r="H144" s="40"/>
      <c r="I144" s="23"/>
      <c r="K144" s="115"/>
    </row>
    <row r="145" spans="1:11" s="30" customFormat="1" ht="28.5" customHeight="1">
      <c r="A145" s="8" t="s">
        <v>442</v>
      </c>
      <c r="B145" s="5" t="s">
        <v>255</v>
      </c>
      <c r="C145" s="5" t="s">
        <v>49</v>
      </c>
      <c r="D145" s="5" t="s">
        <v>441</v>
      </c>
      <c r="E145" s="40">
        <f>511.4</f>
        <v>511.4</v>
      </c>
      <c r="F145" s="40"/>
      <c r="G145" s="40">
        <v>0</v>
      </c>
      <c r="H145" s="40"/>
      <c r="I145" s="23"/>
      <c r="K145" s="115"/>
    </row>
    <row r="146" spans="1:11" s="30" customFormat="1" ht="18" customHeight="1">
      <c r="A146" s="14" t="s">
        <v>236</v>
      </c>
      <c r="B146" s="5" t="s">
        <v>273</v>
      </c>
      <c r="C146" s="5" t="s">
        <v>183</v>
      </c>
      <c r="D146" s="5" t="s">
        <v>157</v>
      </c>
      <c r="E146" s="40">
        <f>E154+E158+E156+E151+E147</f>
        <v>22124.1</v>
      </c>
      <c r="F146" s="40"/>
      <c r="G146" s="40">
        <f>G154+G158+G156+G151+G147</f>
        <v>4548.8</v>
      </c>
      <c r="H146" s="40"/>
      <c r="I146" s="23"/>
      <c r="K146" s="115"/>
    </row>
    <row r="147" spans="1:11" s="30" customFormat="1" ht="25.5">
      <c r="A147" s="14" t="s">
        <v>39</v>
      </c>
      <c r="B147" s="5" t="s">
        <v>273</v>
      </c>
      <c r="C147" s="5" t="s">
        <v>41</v>
      </c>
      <c r="D147" s="5" t="s">
        <v>157</v>
      </c>
      <c r="E147" s="40">
        <f>E148</f>
        <v>2200</v>
      </c>
      <c r="F147" s="40"/>
      <c r="G147" s="40">
        <f>G148</f>
        <v>983.3</v>
      </c>
      <c r="H147" s="40"/>
      <c r="I147" s="23"/>
      <c r="K147" s="115"/>
    </row>
    <row r="148" spans="1:11" s="30" customFormat="1" ht="25.5">
      <c r="A148" s="102" t="s">
        <v>197</v>
      </c>
      <c r="B148" s="50" t="s">
        <v>273</v>
      </c>
      <c r="C148" s="50" t="s">
        <v>148</v>
      </c>
      <c r="D148" s="50" t="s">
        <v>157</v>
      </c>
      <c r="E148" s="98">
        <f>E149</f>
        <v>2200</v>
      </c>
      <c r="F148" s="40"/>
      <c r="G148" s="98">
        <f>G149</f>
        <v>983.3</v>
      </c>
      <c r="H148" s="40"/>
      <c r="I148" s="23"/>
      <c r="K148" s="115"/>
    </row>
    <row r="149" spans="1:11" s="30" customFormat="1" ht="19.5" customHeight="1">
      <c r="A149" s="48" t="s">
        <v>150</v>
      </c>
      <c r="B149" s="50" t="s">
        <v>273</v>
      </c>
      <c r="C149" s="50" t="s">
        <v>149</v>
      </c>
      <c r="D149" s="50" t="s">
        <v>157</v>
      </c>
      <c r="E149" s="98">
        <f>E150</f>
        <v>2200</v>
      </c>
      <c r="F149" s="40"/>
      <c r="G149" s="98">
        <f>G150</f>
        <v>983.3</v>
      </c>
      <c r="H149" s="40"/>
      <c r="I149" s="23"/>
      <c r="K149" s="115"/>
    </row>
    <row r="150" spans="1:11" s="30" customFormat="1" ht="45.75" customHeight="1">
      <c r="A150" s="17" t="s">
        <v>250</v>
      </c>
      <c r="B150" s="50" t="s">
        <v>273</v>
      </c>
      <c r="C150" s="50" t="s">
        <v>149</v>
      </c>
      <c r="D150" s="50" t="s">
        <v>249</v>
      </c>
      <c r="E150" s="98">
        <f>2200</f>
        <v>2200</v>
      </c>
      <c r="F150" s="40"/>
      <c r="G150" s="98">
        <v>983.3</v>
      </c>
      <c r="H150" s="40"/>
      <c r="I150" s="23"/>
      <c r="K150" s="115"/>
    </row>
    <row r="151" spans="1:11" s="30" customFormat="1" ht="25.5">
      <c r="A151" s="13" t="s">
        <v>130</v>
      </c>
      <c r="B151" s="5" t="s">
        <v>273</v>
      </c>
      <c r="C151" s="5" t="s">
        <v>131</v>
      </c>
      <c r="D151" s="5" t="s">
        <v>157</v>
      </c>
      <c r="E151" s="40">
        <f>E152+E153</f>
        <v>4000</v>
      </c>
      <c r="F151" s="40"/>
      <c r="G151" s="40">
        <f>G152+G153</f>
        <v>1230.7</v>
      </c>
      <c r="H151" s="40"/>
      <c r="I151" s="23"/>
      <c r="K151" s="115"/>
    </row>
    <row r="152" spans="1:11" s="30" customFormat="1" ht="30.75" customHeight="1">
      <c r="A152" s="10" t="s">
        <v>24</v>
      </c>
      <c r="B152" s="5" t="s">
        <v>273</v>
      </c>
      <c r="C152" s="5" t="s">
        <v>131</v>
      </c>
      <c r="D152" s="5" t="s">
        <v>23</v>
      </c>
      <c r="E152" s="40">
        <f>4000-15</f>
        <v>3985</v>
      </c>
      <c r="F152" s="40"/>
      <c r="G152" s="40">
        <v>1215.7</v>
      </c>
      <c r="H152" s="40"/>
      <c r="I152" s="23"/>
      <c r="K152" s="115"/>
    </row>
    <row r="153" spans="1:11" s="30" customFormat="1" ht="15.75" customHeight="1">
      <c r="A153" s="100" t="s">
        <v>310</v>
      </c>
      <c r="B153" s="5" t="s">
        <v>273</v>
      </c>
      <c r="C153" s="5" t="s">
        <v>131</v>
      </c>
      <c r="D153" s="5" t="s">
        <v>314</v>
      </c>
      <c r="E153" s="40">
        <f>15</f>
        <v>15</v>
      </c>
      <c r="F153" s="40"/>
      <c r="G153" s="40">
        <v>15</v>
      </c>
      <c r="H153" s="40"/>
      <c r="I153" s="23"/>
      <c r="K153" s="115"/>
    </row>
    <row r="154" spans="1:11" s="30" customFormat="1" ht="25.5">
      <c r="A154" s="12" t="s">
        <v>85</v>
      </c>
      <c r="B154" s="5" t="s">
        <v>273</v>
      </c>
      <c r="C154" s="5" t="s">
        <v>88</v>
      </c>
      <c r="D154" s="5" t="s">
        <v>157</v>
      </c>
      <c r="E154" s="38">
        <f>E155</f>
        <v>760.6</v>
      </c>
      <c r="F154" s="38"/>
      <c r="G154" s="38">
        <f>G155</f>
        <v>322.9</v>
      </c>
      <c r="H154" s="38"/>
      <c r="I154" s="23"/>
      <c r="K154" s="115"/>
    </row>
    <row r="155" spans="1:11" s="30" customFormat="1" ht="28.5" customHeight="1">
      <c r="A155" s="10" t="s">
        <v>24</v>
      </c>
      <c r="B155" s="5" t="s">
        <v>273</v>
      </c>
      <c r="C155" s="5" t="s">
        <v>88</v>
      </c>
      <c r="D155" s="5" t="s">
        <v>23</v>
      </c>
      <c r="E155" s="38">
        <f>760.6</f>
        <v>760.6</v>
      </c>
      <c r="F155" s="38"/>
      <c r="G155" s="38">
        <v>322.9</v>
      </c>
      <c r="H155" s="38"/>
      <c r="I155" s="23"/>
      <c r="K155" s="115"/>
    </row>
    <row r="156" spans="1:11" s="30" customFormat="1" ht="12.75">
      <c r="A156" s="17" t="s">
        <v>69</v>
      </c>
      <c r="B156" s="5" t="s">
        <v>273</v>
      </c>
      <c r="C156" s="5" t="s">
        <v>70</v>
      </c>
      <c r="D156" s="5" t="s">
        <v>157</v>
      </c>
      <c r="E156" s="38">
        <f>E157</f>
        <v>4516</v>
      </c>
      <c r="F156" s="38"/>
      <c r="G156" s="38">
        <f>G157</f>
        <v>240</v>
      </c>
      <c r="H156" s="38"/>
      <c r="I156" s="23"/>
      <c r="K156" s="115"/>
    </row>
    <row r="157" spans="1:11" s="30" customFormat="1" ht="28.5" customHeight="1">
      <c r="A157" s="10" t="s">
        <v>24</v>
      </c>
      <c r="B157" s="5" t="s">
        <v>273</v>
      </c>
      <c r="C157" s="5" t="s">
        <v>70</v>
      </c>
      <c r="D157" s="5" t="s">
        <v>23</v>
      </c>
      <c r="E157" s="38">
        <f>1316+3200</f>
        <v>4516</v>
      </c>
      <c r="F157" s="38"/>
      <c r="G157" s="38">
        <v>240</v>
      </c>
      <c r="H157" s="38"/>
      <c r="I157" s="23"/>
      <c r="K157" s="115"/>
    </row>
    <row r="158" spans="1:11" s="30" customFormat="1" ht="12.75">
      <c r="A158" s="17" t="s">
        <v>35</v>
      </c>
      <c r="B158" s="5" t="s">
        <v>273</v>
      </c>
      <c r="C158" s="5" t="s">
        <v>36</v>
      </c>
      <c r="D158" s="5" t="s">
        <v>157</v>
      </c>
      <c r="E158" s="38">
        <f>E159+E167+E165</f>
        <v>10647.5</v>
      </c>
      <c r="F158" s="38"/>
      <c r="G158" s="38">
        <f>G159+G167+G165</f>
        <v>1771.8999999999999</v>
      </c>
      <c r="H158" s="38"/>
      <c r="I158" s="23"/>
      <c r="K158" s="115"/>
    </row>
    <row r="159" spans="1:11" s="30" customFormat="1" ht="54" customHeight="1">
      <c r="A159" s="92" t="s">
        <v>454</v>
      </c>
      <c r="B159" s="5" t="s">
        <v>273</v>
      </c>
      <c r="C159" s="5" t="s">
        <v>74</v>
      </c>
      <c r="D159" s="5" t="s">
        <v>157</v>
      </c>
      <c r="E159" s="38">
        <f>E163+E164+E162+E161+E160</f>
        <v>8950</v>
      </c>
      <c r="F159" s="38"/>
      <c r="G159" s="38">
        <f>G163+G164+G162+G161+G160</f>
        <v>1450.7</v>
      </c>
      <c r="H159" s="38"/>
      <c r="I159" s="23"/>
      <c r="K159" s="115"/>
    </row>
    <row r="160" spans="1:11" s="30" customFormat="1" ht="21.75" customHeight="1">
      <c r="A160" s="25" t="s">
        <v>224</v>
      </c>
      <c r="B160" s="5" t="s">
        <v>273</v>
      </c>
      <c r="C160" s="5" t="s">
        <v>74</v>
      </c>
      <c r="D160" s="5" t="s">
        <v>308</v>
      </c>
      <c r="E160" s="38">
        <f>2224.1+1708</f>
        <v>3932.1</v>
      </c>
      <c r="F160" s="38"/>
      <c r="G160" s="38">
        <v>1333.9</v>
      </c>
      <c r="H160" s="38"/>
      <c r="I160" s="23"/>
      <c r="K160" s="115"/>
    </row>
    <row r="161" spans="1:11" s="30" customFormat="1" ht="30" customHeight="1">
      <c r="A161" s="10" t="s">
        <v>127</v>
      </c>
      <c r="B161" s="5" t="s">
        <v>273</v>
      </c>
      <c r="C161" s="5" t="s">
        <v>74</v>
      </c>
      <c r="D161" s="5" t="s">
        <v>126</v>
      </c>
      <c r="E161" s="38">
        <f>9+40.5</f>
        <v>49.5</v>
      </c>
      <c r="F161" s="38"/>
      <c r="G161" s="38">
        <v>4.7</v>
      </c>
      <c r="H161" s="38"/>
      <c r="I161" s="23"/>
      <c r="K161" s="115"/>
    </row>
    <row r="162" spans="1:11" s="30" customFormat="1" ht="32.25" customHeight="1">
      <c r="A162" s="10" t="s">
        <v>24</v>
      </c>
      <c r="B162" s="5" t="s">
        <v>273</v>
      </c>
      <c r="C162" s="5" t="s">
        <v>74</v>
      </c>
      <c r="D162" s="5" t="s">
        <v>23</v>
      </c>
      <c r="E162" s="38">
        <f>294.2+701.5</f>
        <v>995.7</v>
      </c>
      <c r="F162" s="38"/>
      <c r="G162" s="38">
        <v>111.5</v>
      </c>
      <c r="H162" s="38"/>
      <c r="I162" s="23"/>
      <c r="K162" s="115"/>
    </row>
    <row r="163" spans="1:11" s="30" customFormat="1" ht="41.25" customHeight="1">
      <c r="A163" s="17" t="s">
        <v>496</v>
      </c>
      <c r="B163" s="5" t="s">
        <v>273</v>
      </c>
      <c r="C163" s="5" t="s">
        <v>74</v>
      </c>
      <c r="D163" s="5" t="s">
        <v>495</v>
      </c>
      <c r="E163" s="38">
        <f>3950-2550+2550</f>
        <v>3950</v>
      </c>
      <c r="F163" s="38"/>
      <c r="G163" s="38">
        <v>0</v>
      </c>
      <c r="H163" s="38"/>
      <c r="I163" s="23"/>
      <c r="K163" s="115"/>
    </row>
    <row r="164" spans="1:11" s="30" customFormat="1" ht="30.75" customHeight="1">
      <c r="A164" s="47" t="s">
        <v>309</v>
      </c>
      <c r="B164" s="5" t="s">
        <v>273</v>
      </c>
      <c r="C164" s="5" t="s">
        <v>74</v>
      </c>
      <c r="D164" s="5" t="s">
        <v>313</v>
      </c>
      <c r="E164" s="38">
        <v>22.7</v>
      </c>
      <c r="F164" s="38"/>
      <c r="G164" s="38">
        <v>0.6</v>
      </c>
      <c r="H164" s="38"/>
      <c r="I164" s="23"/>
      <c r="K164" s="115"/>
    </row>
    <row r="165" spans="1:11" s="30" customFormat="1" ht="67.5" customHeight="1">
      <c r="A165" s="92" t="s">
        <v>4</v>
      </c>
      <c r="B165" s="50" t="s">
        <v>273</v>
      </c>
      <c r="C165" s="50" t="s">
        <v>5</v>
      </c>
      <c r="D165" s="50" t="s">
        <v>157</v>
      </c>
      <c r="E165" s="51">
        <f>E166</f>
        <v>197.5</v>
      </c>
      <c r="F165" s="51"/>
      <c r="G165" s="51">
        <f>G166</f>
        <v>99.6</v>
      </c>
      <c r="H165" s="51"/>
      <c r="I165" s="23"/>
      <c r="K165" s="115"/>
    </row>
    <row r="166" spans="1:11" s="30" customFormat="1" ht="19.5" customHeight="1">
      <c r="A166" s="108" t="s">
        <v>147</v>
      </c>
      <c r="B166" s="50" t="s">
        <v>273</v>
      </c>
      <c r="C166" s="50" t="s">
        <v>5</v>
      </c>
      <c r="D166" s="50" t="s">
        <v>146</v>
      </c>
      <c r="E166" s="51">
        <f>3190-2992.5</f>
        <v>197.5</v>
      </c>
      <c r="F166" s="51"/>
      <c r="G166" s="51">
        <v>99.6</v>
      </c>
      <c r="H166" s="51"/>
      <c r="I166" s="23"/>
      <c r="K166" s="115"/>
    </row>
    <row r="167" spans="1:11" s="30" customFormat="1" ht="43.5" customHeight="1">
      <c r="A167" s="92" t="s">
        <v>342</v>
      </c>
      <c r="B167" s="5" t="s">
        <v>273</v>
      </c>
      <c r="C167" s="5" t="s">
        <v>343</v>
      </c>
      <c r="D167" s="5" t="s">
        <v>157</v>
      </c>
      <c r="E167" s="38">
        <f>E169+E168</f>
        <v>1500</v>
      </c>
      <c r="F167" s="38"/>
      <c r="G167" s="38">
        <f>G169+G168</f>
        <v>221.6</v>
      </c>
      <c r="H167" s="38"/>
      <c r="I167" s="23"/>
      <c r="K167" s="115"/>
    </row>
    <row r="168" spans="1:11" s="30" customFormat="1" ht="27.75" customHeight="1">
      <c r="A168" s="100" t="s">
        <v>125</v>
      </c>
      <c r="B168" s="5" t="s">
        <v>273</v>
      </c>
      <c r="C168" s="5" t="s">
        <v>343</v>
      </c>
      <c r="D168" s="5" t="s">
        <v>223</v>
      </c>
      <c r="E168" s="38">
        <f>300</f>
        <v>300</v>
      </c>
      <c r="F168" s="38"/>
      <c r="G168" s="38">
        <v>135.5</v>
      </c>
      <c r="H168" s="38"/>
      <c r="I168" s="23"/>
      <c r="K168" s="115"/>
    </row>
    <row r="169" spans="1:11" s="30" customFormat="1" ht="28.5" customHeight="1">
      <c r="A169" s="10" t="s">
        <v>24</v>
      </c>
      <c r="B169" s="5" t="s">
        <v>273</v>
      </c>
      <c r="C169" s="5" t="s">
        <v>343</v>
      </c>
      <c r="D169" s="5" t="s">
        <v>23</v>
      </c>
      <c r="E169" s="38">
        <f>1500-300</f>
        <v>1200</v>
      </c>
      <c r="F169" s="38"/>
      <c r="G169" s="38">
        <v>86.1</v>
      </c>
      <c r="H169" s="38"/>
      <c r="I169" s="23"/>
      <c r="K169" s="115"/>
    </row>
    <row r="170" spans="1:11" s="85" customFormat="1" ht="20.25" customHeight="1">
      <c r="A170" s="65" t="s">
        <v>165</v>
      </c>
      <c r="B170" s="66" t="s">
        <v>159</v>
      </c>
      <c r="C170" s="66" t="s">
        <v>183</v>
      </c>
      <c r="D170" s="66" t="s">
        <v>157</v>
      </c>
      <c r="E170" s="67">
        <f>E177+E171</f>
        <v>17020</v>
      </c>
      <c r="F170" s="67">
        <f>F177</f>
        <v>12970</v>
      </c>
      <c r="G170" s="67">
        <f>G177+G171</f>
        <v>5810.6</v>
      </c>
      <c r="H170" s="67">
        <f>H177</f>
        <v>5430.6</v>
      </c>
      <c r="I170" s="88">
        <f>G170/E170*100</f>
        <v>34.13983548766158</v>
      </c>
      <c r="K170" s="115"/>
    </row>
    <row r="171" spans="1:11" s="85" customFormat="1" ht="20.25" customHeight="1">
      <c r="A171" s="14" t="s">
        <v>357</v>
      </c>
      <c r="B171" s="105" t="s">
        <v>358</v>
      </c>
      <c r="C171" s="105" t="s">
        <v>183</v>
      </c>
      <c r="D171" s="105" t="s">
        <v>157</v>
      </c>
      <c r="E171" s="38">
        <f>E174+E172</f>
        <v>4050</v>
      </c>
      <c r="F171" s="67"/>
      <c r="G171" s="38">
        <f>G174+G172</f>
        <v>380</v>
      </c>
      <c r="H171" s="67"/>
      <c r="I171" s="109"/>
      <c r="K171" s="115"/>
    </row>
    <row r="172" spans="1:11" s="85" customFormat="1" ht="45.75" customHeight="1">
      <c r="A172" s="100" t="s">
        <v>479</v>
      </c>
      <c r="B172" s="105" t="s">
        <v>358</v>
      </c>
      <c r="C172" s="3">
        <v>5201501</v>
      </c>
      <c r="D172" s="50" t="s">
        <v>157</v>
      </c>
      <c r="E172" s="38">
        <f>E173</f>
        <v>550</v>
      </c>
      <c r="F172" s="67"/>
      <c r="G172" s="38">
        <f>G173</f>
        <v>0</v>
      </c>
      <c r="H172" s="67"/>
      <c r="I172" s="109"/>
      <c r="K172" s="115"/>
    </row>
    <row r="173" spans="1:11" s="85" customFormat="1" ht="20.25" customHeight="1">
      <c r="A173" s="93" t="s">
        <v>147</v>
      </c>
      <c r="B173" s="105" t="s">
        <v>358</v>
      </c>
      <c r="C173" s="3">
        <v>5201501</v>
      </c>
      <c r="D173" s="50" t="s">
        <v>146</v>
      </c>
      <c r="E173" s="38">
        <f>550</f>
        <v>550</v>
      </c>
      <c r="F173" s="67"/>
      <c r="G173" s="38">
        <v>0</v>
      </c>
      <c r="H173" s="67"/>
      <c r="I173" s="109"/>
      <c r="K173" s="115"/>
    </row>
    <row r="174" spans="1:11" s="85" customFormat="1" ht="20.25" customHeight="1">
      <c r="A174" s="17" t="s">
        <v>35</v>
      </c>
      <c r="B174" s="105" t="s">
        <v>358</v>
      </c>
      <c r="C174" s="105" t="s">
        <v>36</v>
      </c>
      <c r="D174" s="105" t="s">
        <v>157</v>
      </c>
      <c r="E174" s="38">
        <f>E175</f>
        <v>3500</v>
      </c>
      <c r="F174" s="67"/>
      <c r="G174" s="38">
        <f>G175</f>
        <v>380</v>
      </c>
      <c r="H174" s="67"/>
      <c r="I174" s="109"/>
      <c r="K174" s="115"/>
    </row>
    <row r="175" spans="1:11" s="85" customFormat="1" ht="67.5" customHeight="1">
      <c r="A175" s="17" t="s">
        <v>359</v>
      </c>
      <c r="B175" s="105" t="s">
        <v>358</v>
      </c>
      <c r="C175" s="105" t="s">
        <v>360</v>
      </c>
      <c r="D175" s="105" t="s">
        <v>157</v>
      </c>
      <c r="E175" s="38">
        <f>E176</f>
        <v>3500</v>
      </c>
      <c r="F175" s="67"/>
      <c r="G175" s="38">
        <f>G176</f>
        <v>380</v>
      </c>
      <c r="H175" s="67"/>
      <c r="I175" s="109"/>
      <c r="K175" s="115"/>
    </row>
    <row r="176" spans="1:11" s="85" customFormat="1" ht="30" customHeight="1">
      <c r="A176" s="10" t="s">
        <v>24</v>
      </c>
      <c r="B176" s="105" t="s">
        <v>358</v>
      </c>
      <c r="C176" s="105" t="s">
        <v>360</v>
      </c>
      <c r="D176" s="105" t="s">
        <v>23</v>
      </c>
      <c r="E176" s="38">
        <f>3500</f>
        <v>3500</v>
      </c>
      <c r="F176" s="67"/>
      <c r="G176" s="38">
        <v>380</v>
      </c>
      <c r="H176" s="67"/>
      <c r="I176" s="109"/>
      <c r="K176" s="115"/>
    </row>
    <row r="177" spans="1:11" s="30" customFormat="1" ht="28.5" customHeight="1">
      <c r="A177" s="11" t="s">
        <v>198</v>
      </c>
      <c r="B177" s="5" t="s">
        <v>275</v>
      </c>
      <c r="C177" s="5" t="s">
        <v>183</v>
      </c>
      <c r="D177" s="5" t="s">
        <v>157</v>
      </c>
      <c r="E177" s="38">
        <f aca="true" t="shared" si="1" ref="E177:H178">E178</f>
        <v>12970</v>
      </c>
      <c r="F177" s="38">
        <f t="shared" si="1"/>
        <v>12970</v>
      </c>
      <c r="G177" s="38">
        <f t="shared" si="1"/>
        <v>5430.6</v>
      </c>
      <c r="H177" s="38">
        <f t="shared" si="1"/>
        <v>5430.6</v>
      </c>
      <c r="I177" s="23"/>
      <c r="K177" s="115"/>
    </row>
    <row r="178" spans="1:11" s="30" customFormat="1" ht="33" customHeight="1">
      <c r="A178" s="11" t="s">
        <v>386</v>
      </c>
      <c r="B178" s="5" t="s">
        <v>275</v>
      </c>
      <c r="C178" s="5" t="s">
        <v>385</v>
      </c>
      <c r="D178" s="5" t="s">
        <v>157</v>
      </c>
      <c r="E178" s="38">
        <f t="shared" si="1"/>
        <v>12970</v>
      </c>
      <c r="F178" s="38">
        <f t="shared" si="1"/>
        <v>12970</v>
      </c>
      <c r="G178" s="38">
        <f t="shared" si="1"/>
        <v>5430.6</v>
      </c>
      <c r="H178" s="38">
        <f t="shared" si="1"/>
        <v>5430.6</v>
      </c>
      <c r="I178" s="23"/>
      <c r="K178" s="115"/>
    </row>
    <row r="179" spans="1:11" s="30" customFormat="1" ht="42" customHeight="1">
      <c r="A179" s="11" t="s">
        <v>319</v>
      </c>
      <c r="B179" s="5" t="s">
        <v>275</v>
      </c>
      <c r="C179" s="5" t="s">
        <v>384</v>
      </c>
      <c r="D179" s="5" t="s">
        <v>157</v>
      </c>
      <c r="E179" s="38">
        <f>E180+E181+E182+E183+E184+E185</f>
        <v>12970</v>
      </c>
      <c r="F179" s="38">
        <f>F180+F181+F182+F183+F184+F185</f>
        <v>12970</v>
      </c>
      <c r="G179" s="38">
        <f>G180+G181+G182+G183+G184+G185</f>
        <v>5430.6</v>
      </c>
      <c r="H179" s="38">
        <f>H180+H181+H182+H183+H184+H185</f>
        <v>5430.6</v>
      </c>
      <c r="I179" s="23"/>
      <c r="K179" s="115"/>
    </row>
    <row r="180" spans="1:11" s="30" customFormat="1" ht="21.75" customHeight="1">
      <c r="A180" s="25" t="s">
        <v>224</v>
      </c>
      <c r="B180" s="5" t="s">
        <v>275</v>
      </c>
      <c r="C180" s="5" t="s">
        <v>384</v>
      </c>
      <c r="D180" s="5" t="s">
        <v>308</v>
      </c>
      <c r="E180" s="38">
        <f>11295.3+0.6</f>
        <v>11295.9</v>
      </c>
      <c r="F180" s="38">
        <f>11295.3+0.6</f>
        <v>11295.9</v>
      </c>
      <c r="G180" s="38">
        <v>4585.8</v>
      </c>
      <c r="H180" s="38">
        <v>4585.8</v>
      </c>
      <c r="I180" s="23"/>
      <c r="K180" s="115"/>
    </row>
    <row r="181" spans="1:11" s="30" customFormat="1" ht="33" customHeight="1">
      <c r="A181" s="100" t="s">
        <v>125</v>
      </c>
      <c r="B181" s="5" t="s">
        <v>275</v>
      </c>
      <c r="C181" s="5" t="s">
        <v>384</v>
      </c>
      <c r="D181" s="5" t="s">
        <v>354</v>
      </c>
      <c r="E181" s="38">
        <f>0.6</f>
        <v>0.6</v>
      </c>
      <c r="F181" s="38">
        <f>0.6</f>
        <v>0.6</v>
      </c>
      <c r="G181" s="38">
        <v>0</v>
      </c>
      <c r="H181" s="38">
        <v>0</v>
      </c>
      <c r="I181" s="23"/>
      <c r="K181" s="115"/>
    </row>
    <row r="182" spans="1:11" s="30" customFormat="1" ht="37.5" customHeight="1">
      <c r="A182" s="10" t="s">
        <v>127</v>
      </c>
      <c r="B182" s="5" t="s">
        <v>275</v>
      </c>
      <c r="C182" s="5" t="s">
        <v>384</v>
      </c>
      <c r="D182" s="5" t="s">
        <v>126</v>
      </c>
      <c r="E182" s="38">
        <f>175+10+86+200+40+40+40-85</f>
        <v>506</v>
      </c>
      <c r="F182" s="38">
        <f>175+10+86+200+40+40+40-85</f>
        <v>506</v>
      </c>
      <c r="G182" s="38">
        <v>195.2</v>
      </c>
      <c r="H182" s="38">
        <v>195.2</v>
      </c>
      <c r="I182" s="23"/>
      <c r="K182" s="115"/>
    </row>
    <row r="183" spans="1:11" s="30" customFormat="1" ht="30.75" customHeight="1">
      <c r="A183" s="13" t="s">
        <v>24</v>
      </c>
      <c r="B183" s="5" t="s">
        <v>275</v>
      </c>
      <c r="C183" s="5" t="s">
        <v>384</v>
      </c>
      <c r="D183" s="5" t="s">
        <v>23</v>
      </c>
      <c r="E183" s="38">
        <f>20+0.5+50+50+830+180+60-40-40-40+85</f>
        <v>1155.5</v>
      </c>
      <c r="F183" s="38">
        <f>20+0.5+50+50+830+180+60-40-40-40+85</f>
        <v>1155.5</v>
      </c>
      <c r="G183" s="38">
        <v>648</v>
      </c>
      <c r="H183" s="38">
        <v>648</v>
      </c>
      <c r="I183" s="23"/>
      <c r="K183" s="115"/>
    </row>
    <row r="184" spans="1:11" s="30" customFormat="1" ht="30" customHeight="1">
      <c r="A184" s="47" t="s">
        <v>309</v>
      </c>
      <c r="B184" s="5" t="s">
        <v>275</v>
      </c>
      <c r="C184" s="5" t="s">
        <v>384</v>
      </c>
      <c r="D184" s="2" t="s">
        <v>313</v>
      </c>
      <c r="E184" s="38">
        <v>0</v>
      </c>
      <c r="F184" s="38">
        <v>0</v>
      </c>
      <c r="G184" s="38">
        <v>0</v>
      </c>
      <c r="H184" s="38">
        <v>0</v>
      </c>
      <c r="I184" s="23"/>
      <c r="K184" s="115"/>
    </row>
    <row r="185" spans="1:11" s="30" customFormat="1" ht="25.5" customHeight="1">
      <c r="A185" s="100" t="s">
        <v>310</v>
      </c>
      <c r="B185" s="5" t="s">
        <v>275</v>
      </c>
      <c r="C185" s="5" t="s">
        <v>384</v>
      </c>
      <c r="D185" s="2" t="s">
        <v>314</v>
      </c>
      <c r="E185" s="38">
        <v>12</v>
      </c>
      <c r="F185" s="38">
        <v>12</v>
      </c>
      <c r="G185" s="38">
        <v>1.6</v>
      </c>
      <c r="H185" s="38">
        <v>1.6</v>
      </c>
      <c r="I185" s="23"/>
      <c r="K185" s="115"/>
    </row>
    <row r="186" spans="1:11" s="30" customFormat="1" ht="20.25" customHeight="1">
      <c r="A186" s="65" t="s">
        <v>199</v>
      </c>
      <c r="B186" s="66" t="s">
        <v>160</v>
      </c>
      <c r="C186" s="66" t="s">
        <v>183</v>
      </c>
      <c r="D186" s="66" t="s">
        <v>157</v>
      </c>
      <c r="E186" s="67">
        <f>E187</f>
        <v>6500</v>
      </c>
      <c r="F186" s="67">
        <f>F187</f>
        <v>0</v>
      </c>
      <c r="G186" s="67">
        <f>G187</f>
        <v>1167.5</v>
      </c>
      <c r="H186" s="67">
        <f>H187</f>
        <v>0</v>
      </c>
      <c r="I186" s="88">
        <f>G186/E186*100</f>
        <v>17.961538461538463</v>
      </c>
      <c r="K186" s="115"/>
    </row>
    <row r="187" spans="1:11" s="30" customFormat="1" ht="20.25" customHeight="1">
      <c r="A187" s="27" t="s">
        <v>244</v>
      </c>
      <c r="B187" s="2" t="s">
        <v>278</v>
      </c>
      <c r="C187" s="2" t="s">
        <v>183</v>
      </c>
      <c r="D187" s="2" t="s">
        <v>157</v>
      </c>
      <c r="E187" s="36">
        <f>E188</f>
        <v>6500</v>
      </c>
      <c r="F187" s="36"/>
      <c r="G187" s="36">
        <f>G188</f>
        <v>1167.5</v>
      </c>
      <c r="H187" s="36"/>
      <c r="I187" s="23"/>
      <c r="K187" s="115"/>
    </row>
    <row r="188" spans="1:11" s="30" customFormat="1" ht="21" customHeight="1">
      <c r="A188" s="15" t="s">
        <v>35</v>
      </c>
      <c r="B188" s="2" t="s">
        <v>278</v>
      </c>
      <c r="C188" s="2" t="s">
        <v>36</v>
      </c>
      <c r="D188" s="2" t="s">
        <v>157</v>
      </c>
      <c r="E188" s="36">
        <f>E189</f>
        <v>6500</v>
      </c>
      <c r="F188" s="36"/>
      <c r="G188" s="36">
        <f>G189</f>
        <v>1167.5</v>
      </c>
      <c r="H188" s="36"/>
      <c r="I188" s="23"/>
      <c r="K188" s="115"/>
    </row>
    <row r="189" spans="1:11" s="30" customFormat="1" ht="45" customHeight="1">
      <c r="A189" s="55" t="s">
        <v>332</v>
      </c>
      <c r="B189" s="2" t="s">
        <v>278</v>
      </c>
      <c r="C189" s="2" t="s">
        <v>81</v>
      </c>
      <c r="D189" s="2" t="s">
        <v>157</v>
      </c>
      <c r="E189" s="36">
        <f>E191+E190</f>
        <v>6500</v>
      </c>
      <c r="F189" s="36"/>
      <c r="G189" s="36">
        <f>G191+G190</f>
        <v>1167.5</v>
      </c>
      <c r="H189" s="36"/>
      <c r="I189" s="23"/>
      <c r="K189" s="115"/>
    </row>
    <row r="190" spans="1:11" s="30" customFormat="1" ht="29.25" customHeight="1">
      <c r="A190" s="10" t="s">
        <v>127</v>
      </c>
      <c r="B190" s="2" t="s">
        <v>278</v>
      </c>
      <c r="C190" s="2" t="s">
        <v>81</v>
      </c>
      <c r="D190" s="2" t="s">
        <v>126</v>
      </c>
      <c r="E190" s="36">
        <f>19.7+33.6</f>
        <v>53.3</v>
      </c>
      <c r="F190" s="36"/>
      <c r="G190" s="36">
        <v>53.3</v>
      </c>
      <c r="H190" s="36"/>
      <c r="I190" s="23"/>
      <c r="K190" s="115"/>
    </row>
    <row r="191" spans="1:11" s="30" customFormat="1" ht="27.75" customHeight="1">
      <c r="A191" s="13" t="s">
        <v>24</v>
      </c>
      <c r="B191" s="2" t="s">
        <v>278</v>
      </c>
      <c r="C191" s="2" t="s">
        <v>81</v>
      </c>
      <c r="D191" s="2" t="s">
        <v>23</v>
      </c>
      <c r="E191" s="36">
        <f>6500+30.3-30.3-19.7-33.6</f>
        <v>6446.7</v>
      </c>
      <c r="F191" s="36"/>
      <c r="G191" s="36">
        <v>1114.2</v>
      </c>
      <c r="H191" s="36"/>
      <c r="I191" s="23"/>
      <c r="K191" s="115"/>
    </row>
    <row r="192" spans="1:11" s="30" customFormat="1" ht="22.5" customHeight="1">
      <c r="A192" s="65" t="s">
        <v>166</v>
      </c>
      <c r="B192" s="75" t="s">
        <v>161</v>
      </c>
      <c r="C192" s="75" t="s">
        <v>183</v>
      </c>
      <c r="D192" s="75" t="s">
        <v>157</v>
      </c>
      <c r="E192" s="71">
        <f>E193+E234+E322+E343+E319</f>
        <v>3258213.0999999996</v>
      </c>
      <c r="F192" s="71">
        <f>F193+F234+F322+F343+F319</f>
        <v>1223099.9</v>
      </c>
      <c r="G192" s="71">
        <f>G193+G234+G322+G343+G319</f>
        <v>1253661.2</v>
      </c>
      <c r="H192" s="71">
        <f>H193+H234+H322+H343+H319</f>
        <v>569963.1</v>
      </c>
      <c r="I192" s="88">
        <f>G192/E192*100</f>
        <v>38.47695535936554</v>
      </c>
      <c r="K192" s="115"/>
    </row>
    <row r="193" spans="1:11" s="30" customFormat="1" ht="20.25" customHeight="1">
      <c r="A193" s="14" t="s">
        <v>167</v>
      </c>
      <c r="B193" s="83" t="s">
        <v>162</v>
      </c>
      <c r="C193" s="83" t="s">
        <v>183</v>
      </c>
      <c r="D193" s="83" t="s">
        <v>157</v>
      </c>
      <c r="E193" s="84">
        <f>E194+E228+E205+E210+E208</f>
        <v>1222119.4</v>
      </c>
      <c r="F193" s="84">
        <f>F194+F228+F205</f>
        <v>6595</v>
      </c>
      <c r="G193" s="84">
        <f>G194+G228+G205+G210+G208</f>
        <v>389565.29999999993</v>
      </c>
      <c r="H193" s="84">
        <f>H194+H228+H205</f>
        <v>0</v>
      </c>
      <c r="I193" s="23"/>
      <c r="K193" s="115"/>
    </row>
    <row r="194" spans="1:11" s="30" customFormat="1" ht="20.25" customHeight="1">
      <c r="A194" s="12" t="s">
        <v>200</v>
      </c>
      <c r="B194" s="1" t="s">
        <v>162</v>
      </c>
      <c r="C194" s="3">
        <v>4200000</v>
      </c>
      <c r="D194" s="1" t="s">
        <v>157</v>
      </c>
      <c r="E194" s="91">
        <f>E195</f>
        <v>864423.3</v>
      </c>
      <c r="F194" s="34"/>
      <c r="G194" s="91">
        <f>G195</f>
        <v>358729.39999999997</v>
      </c>
      <c r="H194" s="34"/>
      <c r="I194" s="23"/>
      <c r="K194" s="115"/>
    </row>
    <row r="195" spans="1:11" s="30" customFormat="1" ht="30" customHeight="1">
      <c r="A195" s="12" t="s">
        <v>197</v>
      </c>
      <c r="B195" s="1" t="s">
        <v>162</v>
      </c>
      <c r="C195" s="3">
        <v>4209900</v>
      </c>
      <c r="D195" s="1" t="s">
        <v>157</v>
      </c>
      <c r="E195" s="91">
        <f>E196</f>
        <v>864423.3</v>
      </c>
      <c r="F195" s="34"/>
      <c r="G195" s="91">
        <f>G196</f>
        <v>358729.39999999997</v>
      </c>
      <c r="H195" s="34"/>
      <c r="I195" s="23"/>
      <c r="K195" s="115"/>
    </row>
    <row r="196" spans="1:11" s="30" customFormat="1" ht="31.5" customHeight="1">
      <c r="A196" s="12" t="s">
        <v>279</v>
      </c>
      <c r="B196" s="1" t="s">
        <v>162</v>
      </c>
      <c r="C196" s="3">
        <v>4209999</v>
      </c>
      <c r="D196" s="1" t="s">
        <v>157</v>
      </c>
      <c r="E196" s="91">
        <f>E201+E202+E197+E198+E199+E200+E203+E204</f>
        <v>864423.3</v>
      </c>
      <c r="F196" s="34"/>
      <c r="G196" s="91">
        <f>G201+G202+G197+G198+G199+G200+G203+G204</f>
        <v>358729.39999999997</v>
      </c>
      <c r="H196" s="34"/>
      <c r="I196" s="23"/>
      <c r="K196" s="115"/>
    </row>
    <row r="197" spans="1:11" s="30" customFormat="1" ht="19.5" customHeight="1">
      <c r="A197" s="25" t="s">
        <v>224</v>
      </c>
      <c r="B197" s="1" t="s">
        <v>162</v>
      </c>
      <c r="C197" s="3">
        <v>4209999</v>
      </c>
      <c r="D197" s="1" t="s">
        <v>308</v>
      </c>
      <c r="E197" s="91">
        <f>1003.3+284.1-125.6</f>
        <v>1161.8000000000002</v>
      </c>
      <c r="F197" s="34"/>
      <c r="G197" s="91">
        <v>374</v>
      </c>
      <c r="H197" s="34"/>
      <c r="I197" s="23"/>
      <c r="K197" s="115"/>
    </row>
    <row r="198" spans="1:11" s="30" customFormat="1" ht="28.5" customHeight="1">
      <c r="A198" s="10" t="s">
        <v>127</v>
      </c>
      <c r="B198" s="1" t="s">
        <v>162</v>
      </c>
      <c r="C198" s="3">
        <v>4209999</v>
      </c>
      <c r="D198" s="1" t="s">
        <v>354</v>
      </c>
      <c r="E198" s="91">
        <v>0</v>
      </c>
      <c r="F198" s="34"/>
      <c r="G198" s="91">
        <v>0</v>
      </c>
      <c r="H198" s="34"/>
      <c r="I198" s="23"/>
      <c r="K198" s="115"/>
    </row>
    <row r="199" spans="1:11" s="30" customFormat="1" ht="33" customHeight="1">
      <c r="A199" s="10" t="s">
        <v>127</v>
      </c>
      <c r="B199" s="1" t="s">
        <v>162</v>
      </c>
      <c r="C199" s="3">
        <v>4209999</v>
      </c>
      <c r="D199" s="1" t="s">
        <v>126</v>
      </c>
      <c r="E199" s="91">
        <f>8.2</f>
        <v>8.2</v>
      </c>
      <c r="F199" s="34"/>
      <c r="G199" s="91">
        <v>2</v>
      </c>
      <c r="H199" s="34"/>
      <c r="I199" s="23"/>
      <c r="K199" s="115"/>
    </row>
    <row r="200" spans="1:11" s="30" customFormat="1" ht="33" customHeight="1">
      <c r="A200" s="13" t="s">
        <v>24</v>
      </c>
      <c r="B200" s="1" t="s">
        <v>162</v>
      </c>
      <c r="C200" s="3">
        <v>4209999</v>
      </c>
      <c r="D200" s="1" t="s">
        <v>23</v>
      </c>
      <c r="E200" s="91">
        <f>237.2+125.6</f>
        <v>362.79999999999995</v>
      </c>
      <c r="F200" s="34"/>
      <c r="G200" s="91">
        <v>362.8</v>
      </c>
      <c r="H200" s="34"/>
      <c r="I200" s="23"/>
      <c r="K200" s="115"/>
    </row>
    <row r="201" spans="1:11" s="30" customFormat="1" ht="42.75" customHeight="1">
      <c r="A201" s="17" t="s">
        <v>250</v>
      </c>
      <c r="B201" s="1" t="s">
        <v>162</v>
      </c>
      <c r="C201" s="3">
        <v>4209999</v>
      </c>
      <c r="D201" s="1" t="s">
        <v>249</v>
      </c>
      <c r="E201" s="91">
        <f>778808.8-1252.1+843.5+51.2+11486</f>
        <v>789937.4</v>
      </c>
      <c r="F201" s="34"/>
      <c r="G201" s="91">
        <v>341623</v>
      </c>
      <c r="H201" s="34"/>
      <c r="I201" s="23"/>
      <c r="K201" s="115"/>
    </row>
    <row r="202" spans="1:11" s="30" customFormat="1" ht="21" customHeight="1">
      <c r="A202" s="17" t="s">
        <v>147</v>
      </c>
      <c r="B202" s="1" t="s">
        <v>162</v>
      </c>
      <c r="C202" s="3">
        <v>4209999</v>
      </c>
      <c r="D202" s="1" t="s">
        <v>146</v>
      </c>
      <c r="E202" s="91">
        <f>59614.4-40160-16729.4+28.9+86.4+97.1+70000</f>
        <v>72937.4</v>
      </c>
      <c r="F202" s="34"/>
      <c r="G202" s="91">
        <v>16353.6</v>
      </c>
      <c r="H202" s="34"/>
      <c r="I202" s="23"/>
      <c r="K202" s="115"/>
    </row>
    <row r="203" spans="1:11" s="30" customFormat="1" ht="30.75" customHeight="1">
      <c r="A203" s="47" t="s">
        <v>309</v>
      </c>
      <c r="B203" s="1" t="s">
        <v>162</v>
      </c>
      <c r="C203" s="3">
        <v>4209999</v>
      </c>
      <c r="D203" s="1" t="s">
        <v>313</v>
      </c>
      <c r="E203" s="91">
        <f>3.4+12.3</f>
        <v>15.700000000000001</v>
      </c>
      <c r="F203" s="34"/>
      <c r="G203" s="91">
        <v>14</v>
      </c>
      <c r="H203" s="34"/>
      <c r="I203" s="23"/>
      <c r="K203" s="115"/>
    </row>
    <row r="204" spans="1:11" s="30" customFormat="1" ht="22.5" customHeight="1">
      <c r="A204" s="100" t="s">
        <v>310</v>
      </c>
      <c r="B204" s="1" t="s">
        <v>162</v>
      </c>
      <c r="C204" s="3">
        <v>4209999</v>
      </c>
      <c r="D204" s="1" t="s">
        <v>314</v>
      </c>
      <c r="E204" s="91">
        <v>0</v>
      </c>
      <c r="F204" s="34"/>
      <c r="G204" s="91">
        <v>0</v>
      </c>
      <c r="H204" s="34"/>
      <c r="I204" s="23"/>
      <c r="K204" s="115"/>
    </row>
    <row r="205" spans="1:11" s="30" customFormat="1" ht="42.75" customHeight="1">
      <c r="A205" s="17" t="s">
        <v>387</v>
      </c>
      <c r="B205" s="1" t="s">
        <v>162</v>
      </c>
      <c r="C205" s="3">
        <v>4200100</v>
      </c>
      <c r="D205" s="1" t="s">
        <v>157</v>
      </c>
      <c r="E205" s="91">
        <f aca="true" t="shared" si="2" ref="E205:H206">E206</f>
        <v>6595</v>
      </c>
      <c r="F205" s="91">
        <f t="shared" si="2"/>
        <v>6595</v>
      </c>
      <c r="G205" s="91">
        <f t="shared" si="2"/>
        <v>0</v>
      </c>
      <c r="H205" s="91">
        <f t="shared" si="2"/>
        <v>0</v>
      </c>
      <c r="I205" s="23"/>
      <c r="K205" s="115"/>
    </row>
    <row r="206" spans="1:11" s="30" customFormat="1" ht="44.25" customHeight="1">
      <c r="A206" s="17" t="s">
        <v>388</v>
      </c>
      <c r="B206" s="1" t="s">
        <v>162</v>
      </c>
      <c r="C206" s="3">
        <v>4200100</v>
      </c>
      <c r="D206" s="1" t="s">
        <v>157</v>
      </c>
      <c r="E206" s="91">
        <f t="shared" si="2"/>
        <v>6595</v>
      </c>
      <c r="F206" s="91">
        <f t="shared" si="2"/>
        <v>6595</v>
      </c>
      <c r="G206" s="91">
        <f t="shared" si="2"/>
        <v>0</v>
      </c>
      <c r="H206" s="91">
        <f t="shared" si="2"/>
        <v>0</v>
      </c>
      <c r="I206" s="23"/>
      <c r="K206" s="115"/>
    </row>
    <row r="207" spans="1:11" s="30" customFormat="1" ht="23.25" customHeight="1">
      <c r="A207" s="28" t="s">
        <v>16</v>
      </c>
      <c r="B207" s="1" t="s">
        <v>162</v>
      </c>
      <c r="C207" s="3">
        <v>4200100</v>
      </c>
      <c r="D207" s="1" t="s">
        <v>143</v>
      </c>
      <c r="E207" s="91">
        <f>12971+515-6891</f>
        <v>6595</v>
      </c>
      <c r="F207" s="34">
        <f>12971+515-6891</f>
        <v>6595</v>
      </c>
      <c r="G207" s="91"/>
      <c r="H207" s="34"/>
      <c r="I207" s="23"/>
      <c r="K207" s="115"/>
    </row>
    <row r="208" spans="1:11" s="30" customFormat="1" ht="44.25" customHeight="1">
      <c r="A208" s="100" t="s">
        <v>479</v>
      </c>
      <c r="B208" s="1" t="s">
        <v>162</v>
      </c>
      <c r="C208" s="3" t="s">
        <v>500</v>
      </c>
      <c r="D208" s="50" t="s">
        <v>157</v>
      </c>
      <c r="E208" s="91">
        <f>E209</f>
        <v>2380</v>
      </c>
      <c r="F208" s="91"/>
      <c r="G208" s="91">
        <f>G209</f>
        <v>308.1</v>
      </c>
      <c r="H208" s="34"/>
      <c r="I208" s="23"/>
      <c r="K208" s="115"/>
    </row>
    <row r="209" spans="1:11" s="30" customFormat="1" ht="20.25" customHeight="1">
      <c r="A209" s="93" t="s">
        <v>147</v>
      </c>
      <c r="B209" s="1" t="s">
        <v>162</v>
      </c>
      <c r="C209" s="3" t="s">
        <v>500</v>
      </c>
      <c r="D209" s="50" t="s">
        <v>146</v>
      </c>
      <c r="E209" s="91">
        <v>2380</v>
      </c>
      <c r="F209" s="34"/>
      <c r="G209" s="91">
        <v>308.1</v>
      </c>
      <c r="H209" s="34"/>
      <c r="I209" s="23"/>
      <c r="K209" s="115"/>
    </row>
    <row r="210" spans="1:11" s="30" customFormat="1" ht="15.75" customHeight="1">
      <c r="A210" s="28" t="s">
        <v>122</v>
      </c>
      <c r="B210" s="1" t="s">
        <v>162</v>
      </c>
      <c r="C210" s="3">
        <v>5220000</v>
      </c>
      <c r="D210" s="1" t="s">
        <v>157</v>
      </c>
      <c r="E210" s="91">
        <f>E214+E219+E211</f>
        <v>270139.1</v>
      </c>
      <c r="F210" s="34"/>
      <c r="G210" s="91">
        <f>G214+G219+G211</f>
        <v>30189.699999999997</v>
      </c>
      <c r="H210" s="34"/>
      <c r="I210" s="23"/>
      <c r="K210" s="115"/>
    </row>
    <row r="211" spans="1:11" s="30" customFormat="1" ht="68.25" customHeight="1">
      <c r="A211" s="28" t="s">
        <v>466</v>
      </c>
      <c r="B211" s="1" t="s">
        <v>162</v>
      </c>
      <c r="C211" s="3">
        <v>5223607</v>
      </c>
      <c r="D211" s="1" t="s">
        <v>157</v>
      </c>
      <c r="E211" s="91">
        <f>E212+E213</f>
        <v>28325.6</v>
      </c>
      <c r="F211" s="34"/>
      <c r="G211" s="91">
        <f>G212+G213</f>
        <v>2527.6</v>
      </c>
      <c r="H211" s="34"/>
      <c r="I211" s="23"/>
      <c r="K211" s="115"/>
    </row>
    <row r="212" spans="1:11" s="30" customFormat="1" ht="20.25" customHeight="1">
      <c r="A212" s="25" t="s">
        <v>224</v>
      </c>
      <c r="B212" s="1" t="s">
        <v>162</v>
      </c>
      <c r="C212" s="3">
        <v>5223607</v>
      </c>
      <c r="D212" s="1" t="s">
        <v>308</v>
      </c>
      <c r="E212" s="91">
        <f>54.1</f>
        <v>54.1</v>
      </c>
      <c r="F212" s="34"/>
      <c r="G212" s="91">
        <v>0</v>
      </c>
      <c r="H212" s="34"/>
      <c r="I212" s="23"/>
      <c r="K212" s="115"/>
    </row>
    <row r="213" spans="1:11" s="30" customFormat="1" ht="42" customHeight="1">
      <c r="A213" s="17" t="s">
        <v>250</v>
      </c>
      <c r="B213" s="1" t="s">
        <v>162</v>
      </c>
      <c r="C213" s="3">
        <v>5223607</v>
      </c>
      <c r="D213" s="1" t="s">
        <v>249</v>
      </c>
      <c r="E213" s="91">
        <f>28271.5</f>
        <v>28271.5</v>
      </c>
      <c r="F213" s="34"/>
      <c r="G213" s="91">
        <v>2527.6</v>
      </c>
      <c r="H213" s="34"/>
      <c r="I213" s="23"/>
      <c r="K213" s="115"/>
    </row>
    <row r="214" spans="1:11" s="30" customFormat="1" ht="67.5" customHeight="1">
      <c r="A214" s="13" t="s">
        <v>428</v>
      </c>
      <c r="B214" s="1" t="s">
        <v>162</v>
      </c>
      <c r="C214" s="3">
        <v>5222600</v>
      </c>
      <c r="D214" s="1" t="s">
        <v>157</v>
      </c>
      <c r="E214" s="91">
        <f>E215+E217</f>
        <v>28723</v>
      </c>
      <c r="F214" s="34"/>
      <c r="G214" s="91">
        <f>G215+G217</f>
        <v>27662.1</v>
      </c>
      <c r="H214" s="34"/>
      <c r="I214" s="23"/>
      <c r="K214" s="115"/>
    </row>
    <row r="215" spans="1:11" s="30" customFormat="1" ht="44.25" customHeight="1">
      <c r="A215" s="13" t="s">
        <v>429</v>
      </c>
      <c r="B215" s="1" t="s">
        <v>162</v>
      </c>
      <c r="C215" s="3">
        <v>5222642</v>
      </c>
      <c r="D215" s="1" t="s">
        <v>157</v>
      </c>
      <c r="E215" s="91">
        <f>E216</f>
        <v>28655</v>
      </c>
      <c r="F215" s="34"/>
      <c r="G215" s="91">
        <f>G216</f>
        <v>27662.1</v>
      </c>
      <c r="H215" s="34"/>
      <c r="I215" s="23"/>
      <c r="K215" s="115"/>
    </row>
    <row r="216" spans="1:11" s="30" customFormat="1" ht="30" customHeight="1">
      <c r="A216" s="12" t="s">
        <v>315</v>
      </c>
      <c r="B216" s="1" t="s">
        <v>162</v>
      </c>
      <c r="C216" s="3">
        <v>5222642</v>
      </c>
      <c r="D216" s="1" t="s">
        <v>316</v>
      </c>
      <c r="E216" s="91">
        <f>28655</f>
        <v>28655</v>
      </c>
      <c r="F216" s="34"/>
      <c r="G216" s="91">
        <v>27662.1</v>
      </c>
      <c r="H216" s="34"/>
      <c r="I216" s="23"/>
      <c r="K216" s="115"/>
    </row>
    <row r="217" spans="1:11" s="30" customFormat="1" ht="42.75" customHeight="1">
      <c r="A217" s="13" t="s">
        <v>430</v>
      </c>
      <c r="B217" s="1" t="s">
        <v>162</v>
      </c>
      <c r="C217" s="3">
        <v>5222643</v>
      </c>
      <c r="D217" s="1" t="s">
        <v>157</v>
      </c>
      <c r="E217" s="91">
        <f>E218</f>
        <v>68</v>
      </c>
      <c r="F217" s="34"/>
      <c r="G217" s="91">
        <f>G218</f>
        <v>0</v>
      </c>
      <c r="H217" s="34"/>
      <c r="I217" s="23"/>
      <c r="K217" s="115"/>
    </row>
    <row r="218" spans="1:11" s="30" customFormat="1" ht="21" customHeight="1">
      <c r="A218" s="28" t="s">
        <v>16</v>
      </c>
      <c r="B218" s="1" t="s">
        <v>162</v>
      </c>
      <c r="C218" s="3">
        <v>5222643</v>
      </c>
      <c r="D218" s="1" t="s">
        <v>143</v>
      </c>
      <c r="E218" s="91">
        <f>68</f>
        <v>68</v>
      </c>
      <c r="F218" s="34"/>
      <c r="G218" s="91">
        <v>0</v>
      </c>
      <c r="H218" s="34"/>
      <c r="I218" s="23"/>
      <c r="K218" s="115"/>
    </row>
    <row r="219" spans="1:11" s="30" customFormat="1" ht="44.25" customHeight="1">
      <c r="A219" s="28" t="s">
        <v>443</v>
      </c>
      <c r="B219" s="1" t="s">
        <v>162</v>
      </c>
      <c r="C219" s="3">
        <v>5240000</v>
      </c>
      <c r="D219" s="1" t="s">
        <v>157</v>
      </c>
      <c r="E219" s="91">
        <f>E222+E224+E220+E226</f>
        <v>213090.5</v>
      </c>
      <c r="F219" s="34"/>
      <c r="G219" s="91">
        <f>G222+G224+G220+G226</f>
        <v>0</v>
      </c>
      <c r="H219" s="34"/>
      <c r="I219" s="23"/>
      <c r="K219" s="115"/>
    </row>
    <row r="220" spans="1:11" s="30" customFormat="1" ht="30.75" customHeight="1">
      <c r="A220" s="28" t="s">
        <v>450</v>
      </c>
      <c r="B220" s="1" t="s">
        <v>162</v>
      </c>
      <c r="C220" s="3">
        <v>5242000</v>
      </c>
      <c r="D220" s="1" t="s">
        <v>157</v>
      </c>
      <c r="E220" s="91">
        <f>E221</f>
        <v>183489.5</v>
      </c>
      <c r="F220" s="34"/>
      <c r="G220" s="91">
        <f>G221</f>
        <v>0</v>
      </c>
      <c r="H220" s="34"/>
      <c r="I220" s="23"/>
      <c r="K220" s="115"/>
    </row>
    <row r="221" spans="1:11" s="30" customFormat="1" ht="29.25" customHeight="1">
      <c r="A221" s="28" t="s">
        <v>446</v>
      </c>
      <c r="B221" s="1" t="s">
        <v>162</v>
      </c>
      <c r="C221" s="3">
        <v>5242000</v>
      </c>
      <c r="D221" s="1" t="s">
        <v>445</v>
      </c>
      <c r="E221" s="91">
        <f>180000+3489.5</f>
        <v>183489.5</v>
      </c>
      <c r="F221" s="34"/>
      <c r="G221" s="91">
        <v>0</v>
      </c>
      <c r="H221" s="34"/>
      <c r="I221" s="23"/>
      <c r="K221" s="115"/>
    </row>
    <row r="222" spans="1:11" s="30" customFormat="1" ht="29.25" customHeight="1">
      <c r="A222" s="28" t="s">
        <v>444</v>
      </c>
      <c r="B222" s="1" t="s">
        <v>162</v>
      </c>
      <c r="C222" s="3">
        <v>5242100</v>
      </c>
      <c r="D222" s="1" t="s">
        <v>157</v>
      </c>
      <c r="E222" s="91">
        <f>E223</f>
        <v>14580</v>
      </c>
      <c r="F222" s="34"/>
      <c r="G222" s="91">
        <f>G223</f>
        <v>0</v>
      </c>
      <c r="H222" s="34"/>
      <c r="I222" s="23"/>
      <c r="K222" s="115"/>
    </row>
    <row r="223" spans="1:11" s="30" customFormat="1" ht="29.25" customHeight="1">
      <c r="A223" s="28" t="s">
        <v>446</v>
      </c>
      <c r="B223" s="1" t="s">
        <v>162</v>
      </c>
      <c r="C223" s="3">
        <v>5242100</v>
      </c>
      <c r="D223" s="1" t="s">
        <v>445</v>
      </c>
      <c r="E223" s="91">
        <f>14580</f>
        <v>14580</v>
      </c>
      <c r="F223" s="34"/>
      <c r="G223" s="91">
        <v>0</v>
      </c>
      <c r="H223" s="34"/>
      <c r="I223" s="23"/>
      <c r="K223" s="115"/>
    </row>
    <row r="224" spans="1:11" s="30" customFormat="1" ht="41.25" customHeight="1">
      <c r="A224" s="28" t="s">
        <v>449</v>
      </c>
      <c r="B224" s="1" t="s">
        <v>162</v>
      </c>
      <c r="C224" s="3">
        <v>5243000</v>
      </c>
      <c r="D224" s="1" t="s">
        <v>157</v>
      </c>
      <c r="E224" s="91">
        <f>E225</f>
        <v>14110</v>
      </c>
      <c r="F224" s="34"/>
      <c r="G224" s="91">
        <f>G225</f>
        <v>0</v>
      </c>
      <c r="H224" s="34"/>
      <c r="I224" s="23"/>
      <c r="K224" s="115"/>
    </row>
    <row r="225" spans="1:11" s="30" customFormat="1" ht="21.75" customHeight="1">
      <c r="A225" s="17" t="s">
        <v>147</v>
      </c>
      <c r="B225" s="1" t="s">
        <v>162</v>
      </c>
      <c r="C225" s="3">
        <v>5243000</v>
      </c>
      <c r="D225" s="1" t="s">
        <v>146</v>
      </c>
      <c r="E225" s="91">
        <f>14110</f>
        <v>14110</v>
      </c>
      <c r="F225" s="34"/>
      <c r="G225" s="91">
        <v>0</v>
      </c>
      <c r="H225" s="34"/>
      <c r="I225" s="23"/>
      <c r="K225" s="115"/>
    </row>
    <row r="226" spans="1:11" s="30" customFormat="1" ht="117.75" customHeight="1">
      <c r="A226" s="28" t="s">
        <v>451</v>
      </c>
      <c r="B226" s="1" t="s">
        <v>162</v>
      </c>
      <c r="C226" s="3">
        <v>5243100</v>
      </c>
      <c r="D226" s="1" t="s">
        <v>157</v>
      </c>
      <c r="E226" s="91">
        <f>E227</f>
        <v>911</v>
      </c>
      <c r="F226" s="34"/>
      <c r="G226" s="91">
        <f>G227</f>
        <v>0</v>
      </c>
      <c r="H226" s="34"/>
      <c r="I226" s="23"/>
      <c r="K226" s="115"/>
    </row>
    <row r="227" spans="1:11" s="30" customFormat="1" ht="25.5" customHeight="1">
      <c r="A227" s="28" t="s">
        <v>16</v>
      </c>
      <c r="B227" s="1" t="s">
        <v>162</v>
      </c>
      <c r="C227" s="3">
        <v>5243100</v>
      </c>
      <c r="D227" s="1" t="s">
        <v>143</v>
      </c>
      <c r="E227" s="91">
        <f>824+87</f>
        <v>911</v>
      </c>
      <c r="F227" s="34"/>
      <c r="G227" s="91">
        <v>0</v>
      </c>
      <c r="H227" s="34"/>
      <c r="I227" s="23"/>
      <c r="K227" s="115"/>
    </row>
    <row r="228" spans="1:11" s="30" customFormat="1" ht="22.5" customHeight="1">
      <c r="A228" s="15" t="s">
        <v>35</v>
      </c>
      <c r="B228" s="1" t="s">
        <v>162</v>
      </c>
      <c r="C228" s="3">
        <v>7950000</v>
      </c>
      <c r="D228" s="2" t="s">
        <v>157</v>
      </c>
      <c r="E228" s="91">
        <f>E229+E232</f>
        <v>78582</v>
      </c>
      <c r="F228" s="34"/>
      <c r="G228" s="91">
        <f>G229+G232</f>
        <v>338.1</v>
      </c>
      <c r="H228" s="34"/>
      <c r="I228" s="23"/>
      <c r="K228" s="115"/>
    </row>
    <row r="229" spans="1:11" s="30" customFormat="1" ht="56.25" customHeight="1">
      <c r="A229" s="55" t="s">
        <v>345</v>
      </c>
      <c r="B229" s="1" t="s">
        <v>162</v>
      </c>
      <c r="C229" s="3">
        <v>7950040</v>
      </c>
      <c r="D229" s="1" t="s">
        <v>157</v>
      </c>
      <c r="E229" s="91">
        <f>E231+E230</f>
        <v>26691</v>
      </c>
      <c r="F229" s="34"/>
      <c r="G229" s="91">
        <f>G231+G230</f>
        <v>338.1</v>
      </c>
      <c r="H229" s="34"/>
      <c r="I229" s="23"/>
      <c r="K229" s="115"/>
    </row>
    <row r="230" spans="1:11" s="30" customFormat="1" ht="42.75" customHeight="1">
      <c r="A230" s="17" t="s">
        <v>250</v>
      </c>
      <c r="B230" s="1" t="s">
        <v>162</v>
      </c>
      <c r="C230" s="3">
        <v>7950040</v>
      </c>
      <c r="D230" s="1" t="s">
        <v>249</v>
      </c>
      <c r="E230" s="91">
        <v>0</v>
      </c>
      <c r="F230" s="34"/>
      <c r="G230" s="91">
        <v>0</v>
      </c>
      <c r="H230" s="34"/>
      <c r="I230" s="23"/>
      <c r="K230" s="115"/>
    </row>
    <row r="231" spans="1:11" s="30" customFormat="1" ht="22.5" customHeight="1">
      <c r="A231" s="17" t="s">
        <v>147</v>
      </c>
      <c r="B231" s="1" t="s">
        <v>162</v>
      </c>
      <c r="C231" s="3">
        <v>7950040</v>
      </c>
      <c r="D231" s="1" t="s">
        <v>146</v>
      </c>
      <c r="E231" s="91">
        <f>24191+2500</f>
        <v>26691</v>
      </c>
      <c r="F231" s="34"/>
      <c r="G231" s="91">
        <v>338.1</v>
      </c>
      <c r="H231" s="34"/>
      <c r="I231" s="23"/>
      <c r="K231" s="115"/>
    </row>
    <row r="232" spans="1:11" s="30" customFormat="1" ht="71.25" customHeight="1">
      <c r="A232" s="15" t="s">
        <v>26</v>
      </c>
      <c r="B232" s="1" t="s">
        <v>162</v>
      </c>
      <c r="C232" s="3">
        <v>7950300</v>
      </c>
      <c r="D232" s="1" t="s">
        <v>157</v>
      </c>
      <c r="E232" s="91">
        <f>E233</f>
        <v>51891</v>
      </c>
      <c r="F232" s="34"/>
      <c r="G232" s="91">
        <f>G233</f>
        <v>0</v>
      </c>
      <c r="H232" s="34"/>
      <c r="I232" s="23"/>
      <c r="K232" s="115"/>
    </row>
    <row r="233" spans="1:11" s="30" customFormat="1" ht="21.75" customHeight="1">
      <c r="A233" s="93" t="s">
        <v>147</v>
      </c>
      <c r="B233" s="1" t="s">
        <v>162</v>
      </c>
      <c r="C233" s="3">
        <v>7950300</v>
      </c>
      <c r="D233" s="1" t="s">
        <v>146</v>
      </c>
      <c r="E233" s="91">
        <f>40160+25000+2481-15750</f>
        <v>51891</v>
      </c>
      <c r="F233" s="34"/>
      <c r="G233" s="91">
        <v>0</v>
      </c>
      <c r="H233" s="34"/>
      <c r="I233" s="23"/>
      <c r="K233" s="115"/>
    </row>
    <row r="234" spans="1:11" s="30" customFormat="1" ht="21" customHeight="1">
      <c r="A234" s="32" t="s">
        <v>168</v>
      </c>
      <c r="B234" s="80" t="s">
        <v>201</v>
      </c>
      <c r="C234" s="80" t="s">
        <v>183</v>
      </c>
      <c r="D234" s="80" t="s">
        <v>157</v>
      </c>
      <c r="E234" s="84">
        <f>E273+E235+E268+E305+E286+E263+E290+E284</f>
        <v>1913717.3999999997</v>
      </c>
      <c r="F234" s="84">
        <f>F273+F235+F268+F305+F286+F263</f>
        <v>1212355.4</v>
      </c>
      <c r="G234" s="84">
        <f>G273+G235+G268+G305+G286+G263+G290+G284</f>
        <v>817644.4</v>
      </c>
      <c r="H234" s="84">
        <f>H273+H235+H268+H305+H286+H263</f>
        <v>568440.1</v>
      </c>
      <c r="I234" s="23"/>
      <c r="K234" s="115"/>
    </row>
    <row r="235" spans="1:11" s="30" customFormat="1" ht="25.5">
      <c r="A235" s="26" t="s">
        <v>169</v>
      </c>
      <c r="B235" s="2" t="s">
        <v>201</v>
      </c>
      <c r="C235" s="2" t="s">
        <v>202</v>
      </c>
      <c r="D235" s="2" t="s">
        <v>157</v>
      </c>
      <c r="E235" s="91">
        <f>E236</f>
        <v>1401222.2</v>
      </c>
      <c r="F235" s="34">
        <f>F236</f>
        <v>1164442.9</v>
      </c>
      <c r="G235" s="91">
        <f>G236</f>
        <v>650286.1000000001</v>
      </c>
      <c r="H235" s="34">
        <f>H236</f>
        <v>551281.6</v>
      </c>
      <c r="I235" s="23"/>
      <c r="K235" s="115"/>
    </row>
    <row r="236" spans="1:11" s="30" customFormat="1" ht="25.5">
      <c r="A236" s="16" t="s">
        <v>197</v>
      </c>
      <c r="B236" s="1" t="s">
        <v>201</v>
      </c>
      <c r="C236" s="2" t="s">
        <v>280</v>
      </c>
      <c r="D236" s="2" t="s">
        <v>157</v>
      </c>
      <c r="E236" s="33">
        <f>E254+E237+E245+E249+E252+E243</f>
        <v>1401222.2</v>
      </c>
      <c r="F236" s="33">
        <f>F254+F237+F245+F249+F243</f>
        <v>1164442.9</v>
      </c>
      <c r="G236" s="33">
        <f>G254+G237+G245+G249+G252+G243</f>
        <v>650286.1000000001</v>
      </c>
      <c r="H236" s="33">
        <f>H254+H237+H245+H249+H243</f>
        <v>551281.6</v>
      </c>
      <c r="I236" s="23"/>
      <c r="K236" s="115"/>
    </row>
    <row r="237" spans="1:11" s="30" customFormat="1" ht="81.75" customHeight="1">
      <c r="A237" s="8" t="s">
        <v>320</v>
      </c>
      <c r="B237" s="6" t="s">
        <v>201</v>
      </c>
      <c r="C237" s="5" t="s">
        <v>389</v>
      </c>
      <c r="D237" s="5" t="s">
        <v>157</v>
      </c>
      <c r="E237" s="40">
        <f>E242+E238+E239+E240+E241</f>
        <v>1099454.9999999998</v>
      </c>
      <c r="F237" s="40">
        <f>F242+F238+F239+F240+F241</f>
        <v>1099454.9999999998</v>
      </c>
      <c r="G237" s="40">
        <f>G242+G238+G239+G240+G241</f>
        <v>518572.7</v>
      </c>
      <c r="H237" s="40">
        <f>H242+H238+H239+H240+H241</f>
        <v>518572.7</v>
      </c>
      <c r="I237" s="23"/>
      <c r="K237" s="115"/>
    </row>
    <row r="238" spans="1:11" s="30" customFormat="1" ht="21.75" customHeight="1">
      <c r="A238" s="8" t="s">
        <v>356</v>
      </c>
      <c r="B238" s="6" t="s">
        <v>201</v>
      </c>
      <c r="C238" s="5" t="s">
        <v>389</v>
      </c>
      <c r="D238" s="5" t="s">
        <v>308</v>
      </c>
      <c r="E238" s="40">
        <f>87228+23551.9</f>
        <v>110779.9</v>
      </c>
      <c r="F238" s="40">
        <f>87228+23551.9</f>
        <v>110779.9</v>
      </c>
      <c r="G238" s="40">
        <v>55678.5</v>
      </c>
      <c r="H238" s="40">
        <v>55678.5</v>
      </c>
      <c r="I238" s="23"/>
      <c r="K238" s="115"/>
    </row>
    <row r="239" spans="1:11" s="30" customFormat="1" ht="30" customHeight="1">
      <c r="A239" s="100" t="s">
        <v>125</v>
      </c>
      <c r="B239" s="6" t="s">
        <v>201</v>
      </c>
      <c r="C239" s="5" t="s">
        <v>389</v>
      </c>
      <c r="D239" s="5" t="s">
        <v>354</v>
      </c>
      <c r="E239" s="40">
        <f>230.4</f>
        <v>230.4</v>
      </c>
      <c r="F239" s="40">
        <f>230.4</f>
        <v>230.4</v>
      </c>
      <c r="G239" s="40">
        <v>94.2</v>
      </c>
      <c r="H239" s="40">
        <v>94.2</v>
      </c>
      <c r="I239" s="23"/>
      <c r="K239" s="115"/>
    </row>
    <row r="240" spans="1:11" s="30" customFormat="1" ht="29.25" customHeight="1">
      <c r="A240" s="10" t="s">
        <v>127</v>
      </c>
      <c r="B240" s="6" t="s">
        <v>201</v>
      </c>
      <c r="C240" s="5" t="s">
        <v>389</v>
      </c>
      <c r="D240" s="5" t="s">
        <v>126</v>
      </c>
      <c r="E240" s="40">
        <f>249.6</f>
        <v>249.6</v>
      </c>
      <c r="F240" s="40">
        <f>249.6</f>
        <v>249.6</v>
      </c>
      <c r="G240" s="40">
        <v>40.2</v>
      </c>
      <c r="H240" s="40">
        <v>40.2</v>
      </c>
      <c r="I240" s="23"/>
      <c r="K240" s="115"/>
    </row>
    <row r="241" spans="1:11" s="30" customFormat="1" ht="28.5" customHeight="1">
      <c r="A241" s="13" t="s">
        <v>24</v>
      </c>
      <c r="B241" s="6" t="s">
        <v>201</v>
      </c>
      <c r="C241" s="5" t="s">
        <v>389</v>
      </c>
      <c r="D241" s="5" t="s">
        <v>23</v>
      </c>
      <c r="E241" s="40">
        <f>75.4</f>
        <v>75.4</v>
      </c>
      <c r="F241" s="40">
        <f>75.4</f>
        <v>75.4</v>
      </c>
      <c r="G241" s="40">
        <v>31.6</v>
      </c>
      <c r="H241" s="40">
        <v>31.6</v>
      </c>
      <c r="I241" s="23"/>
      <c r="K241" s="115"/>
    </row>
    <row r="242" spans="1:11" s="30" customFormat="1" ht="39.75" customHeight="1">
      <c r="A242" s="17" t="s">
        <v>250</v>
      </c>
      <c r="B242" s="6" t="s">
        <v>201</v>
      </c>
      <c r="C242" s="5" t="s">
        <v>389</v>
      </c>
      <c r="D242" s="5" t="s">
        <v>249</v>
      </c>
      <c r="E242" s="40">
        <f>1033441-111259.9+4430-75.4+61584</f>
        <v>988119.7</v>
      </c>
      <c r="F242" s="40">
        <f>1033441-111259.9+4430-75.4+61584</f>
        <v>988119.7</v>
      </c>
      <c r="G242" s="40">
        <v>462728.2</v>
      </c>
      <c r="H242" s="40">
        <v>462728.2</v>
      </c>
      <c r="I242" s="23"/>
      <c r="K242" s="115"/>
    </row>
    <row r="243" spans="1:11" s="30" customFormat="1" ht="79.5" customHeight="1">
      <c r="A243" s="29" t="s">
        <v>323</v>
      </c>
      <c r="B243" s="106" t="s">
        <v>201</v>
      </c>
      <c r="C243" s="50" t="s">
        <v>399</v>
      </c>
      <c r="D243" s="50" t="s">
        <v>157</v>
      </c>
      <c r="E243" s="40">
        <f>E244</f>
        <v>13253.6</v>
      </c>
      <c r="F243" s="40">
        <f>F244</f>
        <v>13253.6</v>
      </c>
      <c r="G243" s="40">
        <f>G244</f>
        <v>7198.9</v>
      </c>
      <c r="H243" s="40">
        <f>H244</f>
        <v>7198.9</v>
      </c>
      <c r="I243" s="23"/>
      <c r="K243" s="115"/>
    </row>
    <row r="244" spans="1:11" s="30" customFormat="1" ht="22.5" customHeight="1">
      <c r="A244" s="28" t="s">
        <v>16</v>
      </c>
      <c r="B244" s="106" t="s">
        <v>201</v>
      </c>
      <c r="C244" s="50" t="s">
        <v>399</v>
      </c>
      <c r="D244" s="50" t="s">
        <v>143</v>
      </c>
      <c r="E244" s="40">
        <f>11539.6+1714</f>
        <v>13253.6</v>
      </c>
      <c r="F244" s="40">
        <f>11539.6+1714</f>
        <v>13253.6</v>
      </c>
      <c r="G244" s="40">
        <v>7198.9</v>
      </c>
      <c r="H244" s="40">
        <v>7198.9</v>
      </c>
      <c r="I244" s="23"/>
      <c r="K244" s="115"/>
    </row>
    <row r="245" spans="1:11" s="30" customFormat="1" ht="69.75" customHeight="1">
      <c r="A245" s="8" t="s">
        <v>321</v>
      </c>
      <c r="B245" s="6" t="s">
        <v>201</v>
      </c>
      <c r="C245" s="5" t="s">
        <v>390</v>
      </c>
      <c r="D245" s="5" t="s">
        <v>157</v>
      </c>
      <c r="E245" s="40">
        <f>E247+E248+E246</f>
        <v>50501.8</v>
      </c>
      <c r="F245" s="40">
        <f>F247+F248+F246</f>
        <v>50501.8</v>
      </c>
      <c r="G245" s="40">
        <f>G247+G248+G246</f>
        <v>25118.899999999998</v>
      </c>
      <c r="H245" s="40">
        <f>H247+H248+H246</f>
        <v>25118.899999999998</v>
      </c>
      <c r="I245" s="23"/>
      <c r="K245" s="115"/>
    </row>
    <row r="246" spans="1:11" s="30" customFormat="1" ht="30" customHeight="1">
      <c r="A246" s="13" t="s">
        <v>24</v>
      </c>
      <c r="B246" s="6" t="s">
        <v>201</v>
      </c>
      <c r="C246" s="5" t="s">
        <v>390</v>
      </c>
      <c r="D246" s="5" t="s">
        <v>23</v>
      </c>
      <c r="E246" s="40">
        <f>1933+386.6+5.6</f>
        <v>2325.2</v>
      </c>
      <c r="F246" s="40">
        <f>1933+386.6+5.6</f>
        <v>2325.2</v>
      </c>
      <c r="G246" s="40">
        <v>1207.3</v>
      </c>
      <c r="H246" s="40">
        <v>1207.3</v>
      </c>
      <c r="I246" s="23"/>
      <c r="K246" s="115"/>
    </row>
    <row r="247" spans="1:11" s="30" customFormat="1" ht="42.75" customHeight="1">
      <c r="A247" s="17" t="s">
        <v>250</v>
      </c>
      <c r="B247" s="6" t="s">
        <v>201</v>
      </c>
      <c r="C247" s="5" t="s">
        <v>390</v>
      </c>
      <c r="D247" s="5" t="s">
        <v>249</v>
      </c>
      <c r="E247" s="40">
        <f>50329-1933-508+172.8-386.6-5.6</f>
        <v>47668.600000000006</v>
      </c>
      <c r="F247" s="40">
        <f>48060.8-386.6-5.6</f>
        <v>47668.600000000006</v>
      </c>
      <c r="G247" s="40">
        <v>23781.1</v>
      </c>
      <c r="H247" s="40">
        <v>23781.1</v>
      </c>
      <c r="I247" s="23"/>
      <c r="K247" s="115"/>
    </row>
    <row r="248" spans="1:11" s="30" customFormat="1" ht="20.25" customHeight="1">
      <c r="A248" s="13" t="s">
        <v>16</v>
      </c>
      <c r="B248" s="6" t="s">
        <v>201</v>
      </c>
      <c r="C248" s="5" t="s">
        <v>390</v>
      </c>
      <c r="D248" s="5" t="s">
        <v>143</v>
      </c>
      <c r="E248" s="40">
        <f>508</f>
        <v>508</v>
      </c>
      <c r="F248" s="38">
        <f>508</f>
        <v>508</v>
      </c>
      <c r="G248" s="40">
        <v>130.5</v>
      </c>
      <c r="H248" s="38">
        <v>130.5</v>
      </c>
      <c r="I248" s="23"/>
      <c r="K248" s="115"/>
    </row>
    <row r="249" spans="1:11" s="30" customFormat="1" ht="40.5" customHeight="1">
      <c r="A249" s="8" t="s">
        <v>322</v>
      </c>
      <c r="B249" s="6" t="s">
        <v>201</v>
      </c>
      <c r="C249" s="5" t="s">
        <v>391</v>
      </c>
      <c r="D249" s="5" t="s">
        <v>157</v>
      </c>
      <c r="E249" s="40">
        <f>E251+E250</f>
        <v>1232.5</v>
      </c>
      <c r="F249" s="40">
        <f>F251+F250</f>
        <v>1232.5</v>
      </c>
      <c r="G249" s="40">
        <f>G251+G250</f>
        <v>391.1</v>
      </c>
      <c r="H249" s="40">
        <f>H251+H250</f>
        <v>391.1</v>
      </c>
      <c r="I249" s="23"/>
      <c r="K249" s="115"/>
    </row>
    <row r="250" spans="1:11" s="30" customFormat="1" ht="23.25" customHeight="1">
      <c r="A250" s="8" t="s">
        <v>356</v>
      </c>
      <c r="B250" s="6" t="s">
        <v>201</v>
      </c>
      <c r="C250" s="5" t="s">
        <v>391</v>
      </c>
      <c r="D250" s="5" t="s">
        <v>23</v>
      </c>
      <c r="E250" s="40">
        <f>328</f>
        <v>328</v>
      </c>
      <c r="F250" s="40">
        <f>328</f>
        <v>328</v>
      </c>
      <c r="G250" s="40">
        <v>124.3</v>
      </c>
      <c r="H250" s="40">
        <v>124.3</v>
      </c>
      <c r="I250" s="23"/>
      <c r="K250" s="115"/>
    </row>
    <row r="251" spans="1:11" s="30" customFormat="1" ht="39.75" customHeight="1">
      <c r="A251" s="17" t="s">
        <v>250</v>
      </c>
      <c r="B251" s="6" t="s">
        <v>201</v>
      </c>
      <c r="C251" s="5" t="s">
        <v>391</v>
      </c>
      <c r="D251" s="5" t="s">
        <v>249</v>
      </c>
      <c r="E251" s="40">
        <f>1041-328+191.5</f>
        <v>904.5</v>
      </c>
      <c r="F251" s="40">
        <f>904.5</f>
        <v>904.5</v>
      </c>
      <c r="G251" s="40">
        <v>266.8</v>
      </c>
      <c r="H251" s="40">
        <v>266.8</v>
      </c>
      <c r="I251" s="23"/>
      <c r="K251" s="115"/>
    </row>
    <row r="252" spans="1:11" s="30" customFormat="1" ht="24" customHeight="1">
      <c r="A252" s="13" t="s">
        <v>351</v>
      </c>
      <c r="B252" s="6" t="s">
        <v>201</v>
      </c>
      <c r="C252" s="5" t="s">
        <v>352</v>
      </c>
      <c r="D252" s="5" t="s">
        <v>157</v>
      </c>
      <c r="E252" s="40">
        <f>E253</f>
        <v>2133.1</v>
      </c>
      <c r="F252" s="40"/>
      <c r="G252" s="40">
        <f>G253</f>
        <v>398</v>
      </c>
      <c r="H252" s="40"/>
      <c r="I252" s="23"/>
      <c r="K252" s="115"/>
    </row>
    <row r="253" spans="1:11" s="30" customFormat="1" ht="31.5" customHeight="1">
      <c r="A253" s="13" t="s">
        <v>24</v>
      </c>
      <c r="B253" s="6" t="s">
        <v>201</v>
      </c>
      <c r="C253" s="5" t="s">
        <v>352</v>
      </c>
      <c r="D253" s="5" t="s">
        <v>23</v>
      </c>
      <c r="E253" s="40">
        <f>2133.1</f>
        <v>2133.1</v>
      </c>
      <c r="F253" s="40"/>
      <c r="G253" s="40">
        <v>398</v>
      </c>
      <c r="H253" s="40"/>
      <c r="I253" s="23"/>
      <c r="K253" s="115"/>
    </row>
    <row r="254" spans="1:11" s="43" customFormat="1" ht="42.75" customHeight="1">
      <c r="A254" s="46" t="s">
        <v>93</v>
      </c>
      <c r="B254" s="49" t="s">
        <v>201</v>
      </c>
      <c r="C254" s="50" t="s">
        <v>116</v>
      </c>
      <c r="D254" s="50" t="s">
        <v>157</v>
      </c>
      <c r="E254" s="98">
        <f>E259+E255+E256+E257+E258+E261+E262+E260</f>
        <v>234646.19999999995</v>
      </c>
      <c r="F254" s="98">
        <f>F259</f>
        <v>0</v>
      </c>
      <c r="G254" s="98">
        <f>G259+G255+G256+G257+G258+G261+G262+G260</f>
        <v>98606.50000000001</v>
      </c>
      <c r="H254" s="98">
        <f>H259</f>
        <v>0</v>
      </c>
      <c r="I254" s="110"/>
      <c r="J254" s="52"/>
      <c r="K254" s="115"/>
    </row>
    <row r="255" spans="1:11" s="43" customFormat="1" ht="20.25" customHeight="1">
      <c r="A255" s="25" t="s">
        <v>224</v>
      </c>
      <c r="B255" s="49" t="s">
        <v>201</v>
      </c>
      <c r="C255" s="50" t="s">
        <v>116</v>
      </c>
      <c r="D255" s="50" t="s">
        <v>308</v>
      </c>
      <c r="E255" s="98">
        <f>1725.5</f>
        <v>1725.5</v>
      </c>
      <c r="F255" s="98"/>
      <c r="G255" s="98">
        <v>647.3</v>
      </c>
      <c r="H255" s="98"/>
      <c r="I255" s="110"/>
      <c r="J255" s="52"/>
      <c r="K255" s="115"/>
    </row>
    <row r="256" spans="1:11" s="43" customFormat="1" ht="31.5" customHeight="1">
      <c r="A256" s="100" t="s">
        <v>125</v>
      </c>
      <c r="B256" s="49" t="s">
        <v>201</v>
      </c>
      <c r="C256" s="50" t="s">
        <v>116</v>
      </c>
      <c r="D256" s="50" t="s">
        <v>354</v>
      </c>
      <c r="E256" s="98">
        <v>0</v>
      </c>
      <c r="F256" s="98"/>
      <c r="G256" s="98">
        <v>0</v>
      </c>
      <c r="H256" s="98"/>
      <c r="I256" s="110"/>
      <c r="J256" s="52"/>
      <c r="K256" s="115"/>
    </row>
    <row r="257" spans="1:11" s="43" customFormat="1" ht="29.25" customHeight="1">
      <c r="A257" s="10" t="s">
        <v>127</v>
      </c>
      <c r="B257" s="49" t="s">
        <v>201</v>
      </c>
      <c r="C257" s="50" t="s">
        <v>116</v>
      </c>
      <c r="D257" s="50" t="s">
        <v>126</v>
      </c>
      <c r="E257" s="98">
        <f>395.5+50.8+600+360-360-7.5-1.3+4.8+1.9</f>
        <v>1044.2</v>
      </c>
      <c r="F257" s="98"/>
      <c r="G257" s="98">
        <v>392.8</v>
      </c>
      <c r="H257" s="98"/>
      <c r="I257" s="110"/>
      <c r="J257" s="52"/>
      <c r="K257" s="115"/>
    </row>
    <row r="258" spans="1:11" s="43" customFormat="1" ht="30.75" customHeight="1">
      <c r="A258" s="13" t="s">
        <v>24</v>
      </c>
      <c r="B258" s="49" t="s">
        <v>201</v>
      </c>
      <c r="C258" s="50" t="s">
        <v>116</v>
      </c>
      <c r="D258" s="50" t="s">
        <v>23</v>
      </c>
      <c r="E258" s="98">
        <f>19095.9+214.4+1306.4+345.2+84+500+144+36+199.5+327+364+8.6+1.3+15.1+61</f>
        <v>22702.4</v>
      </c>
      <c r="F258" s="98"/>
      <c r="G258" s="98">
        <f>11658.2-3.8</f>
        <v>11654.400000000001</v>
      </c>
      <c r="H258" s="98"/>
      <c r="I258" s="110"/>
      <c r="J258" s="52"/>
      <c r="K258" s="115"/>
    </row>
    <row r="259" spans="1:11" s="43" customFormat="1" ht="40.5" customHeight="1">
      <c r="A259" s="17" t="s">
        <v>250</v>
      </c>
      <c r="B259" s="49" t="s">
        <v>201</v>
      </c>
      <c r="C259" s="50" t="s">
        <v>116</v>
      </c>
      <c r="D259" s="50" t="s">
        <v>249</v>
      </c>
      <c r="E259" s="98">
        <f>124813.4-1500+5668.7+551.4+2.3+12581.4</f>
        <v>142117.19999999998</v>
      </c>
      <c r="F259" s="51"/>
      <c r="G259" s="98">
        <v>66337.3</v>
      </c>
      <c r="H259" s="51"/>
      <c r="I259" s="110"/>
      <c r="J259" s="52"/>
      <c r="K259" s="115"/>
    </row>
    <row r="260" spans="1:11" s="43" customFormat="1" ht="19.5" customHeight="1">
      <c r="A260" s="93" t="s">
        <v>147</v>
      </c>
      <c r="B260" s="49" t="s">
        <v>201</v>
      </c>
      <c r="C260" s="50" t="s">
        <v>116</v>
      </c>
      <c r="D260" s="50" t="s">
        <v>146</v>
      </c>
      <c r="E260" s="98">
        <f>22108.4-1044.7-17742.2+35+37.6+148.1+58000</f>
        <v>61542.2</v>
      </c>
      <c r="F260" s="51"/>
      <c r="G260" s="98">
        <v>15365.8</v>
      </c>
      <c r="H260" s="51"/>
      <c r="I260" s="110"/>
      <c r="J260" s="52"/>
      <c r="K260" s="115"/>
    </row>
    <row r="261" spans="1:11" s="43" customFormat="1" ht="30" customHeight="1">
      <c r="A261" s="47" t="s">
        <v>309</v>
      </c>
      <c r="B261" s="49" t="s">
        <v>201</v>
      </c>
      <c r="C261" s="50" t="s">
        <v>116</v>
      </c>
      <c r="D261" s="50" t="s">
        <v>313</v>
      </c>
      <c r="E261" s="98">
        <f>1572.1-1.1+3943.3-20</f>
        <v>5494.3</v>
      </c>
      <c r="F261" s="51"/>
      <c r="G261" s="98">
        <v>4190.7</v>
      </c>
      <c r="H261" s="51"/>
      <c r="I261" s="110"/>
      <c r="J261" s="52"/>
      <c r="K261" s="115"/>
    </row>
    <row r="262" spans="1:11" s="43" customFormat="1" ht="21" customHeight="1">
      <c r="A262" s="100" t="s">
        <v>310</v>
      </c>
      <c r="B262" s="49" t="s">
        <v>201</v>
      </c>
      <c r="C262" s="50" t="s">
        <v>116</v>
      </c>
      <c r="D262" s="50" t="s">
        <v>314</v>
      </c>
      <c r="E262" s="98">
        <f>0.4+20</f>
        <v>20.4</v>
      </c>
      <c r="F262" s="51"/>
      <c r="G262" s="98">
        <v>18.2</v>
      </c>
      <c r="H262" s="51"/>
      <c r="I262" s="110"/>
      <c r="J262" s="52"/>
      <c r="K262" s="115"/>
    </row>
    <row r="263" spans="1:11" s="43" customFormat="1" ht="23.25" customHeight="1">
      <c r="A263" s="14" t="s">
        <v>394</v>
      </c>
      <c r="B263" s="80" t="s">
        <v>201</v>
      </c>
      <c r="C263" s="82" t="s">
        <v>393</v>
      </c>
      <c r="D263" s="80" t="s">
        <v>157</v>
      </c>
      <c r="E263" s="81">
        <f>E266+E264</f>
        <v>32081.9</v>
      </c>
      <c r="F263" s="81">
        <f>F266+F264</f>
        <v>32081.9</v>
      </c>
      <c r="G263" s="81">
        <f>G266+G264</f>
        <v>10999.2</v>
      </c>
      <c r="H263" s="81">
        <f>H266+H264</f>
        <v>10999.2</v>
      </c>
      <c r="I263" s="110"/>
      <c r="J263" s="52"/>
      <c r="K263" s="115"/>
    </row>
    <row r="264" spans="1:11" s="43" customFormat="1" ht="84.75" customHeight="1">
      <c r="A264" s="29" t="s">
        <v>323</v>
      </c>
      <c r="B264" s="106" t="s">
        <v>201</v>
      </c>
      <c r="C264" s="50">
        <v>4220300</v>
      </c>
      <c r="D264" s="50" t="s">
        <v>157</v>
      </c>
      <c r="E264" s="107">
        <f>E265</f>
        <v>16944.600000000002</v>
      </c>
      <c r="F264" s="107">
        <f>F265</f>
        <v>16944.600000000002</v>
      </c>
      <c r="G264" s="107">
        <f>G265</f>
        <v>6998.3</v>
      </c>
      <c r="H264" s="107">
        <f>H265</f>
        <v>6998.3</v>
      </c>
      <c r="I264" s="110"/>
      <c r="J264" s="52"/>
      <c r="K264" s="115"/>
    </row>
    <row r="265" spans="1:11" s="43" customFormat="1" ht="24" customHeight="1">
      <c r="A265" s="28" t="s">
        <v>16</v>
      </c>
      <c r="B265" s="106" t="s">
        <v>201</v>
      </c>
      <c r="C265" s="50">
        <v>4220300</v>
      </c>
      <c r="D265" s="50" t="s">
        <v>143</v>
      </c>
      <c r="E265" s="107">
        <f>16934.4+10.2</f>
        <v>16944.600000000002</v>
      </c>
      <c r="F265" s="107">
        <f>16934.4+10.2</f>
        <v>16944.600000000002</v>
      </c>
      <c r="G265" s="107">
        <v>6998.3</v>
      </c>
      <c r="H265" s="107">
        <v>6998.3</v>
      </c>
      <c r="I265" s="110"/>
      <c r="J265" s="52"/>
      <c r="K265" s="115"/>
    </row>
    <row r="266" spans="1:11" s="43" customFormat="1" ht="54.75" customHeight="1">
      <c r="A266" s="13" t="s">
        <v>396</v>
      </c>
      <c r="B266" s="49" t="s">
        <v>201</v>
      </c>
      <c r="C266" s="50" t="s">
        <v>395</v>
      </c>
      <c r="D266" s="50" t="s">
        <v>157</v>
      </c>
      <c r="E266" s="98">
        <f>E267</f>
        <v>15137.3</v>
      </c>
      <c r="F266" s="98">
        <f>F267</f>
        <v>15137.3</v>
      </c>
      <c r="G266" s="98">
        <f>G267</f>
        <v>4000.9</v>
      </c>
      <c r="H266" s="98">
        <f>H267</f>
        <v>4000.9</v>
      </c>
      <c r="I266" s="110"/>
      <c r="J266" s="52"/>
      <c r="K266" s="115"/>
    </row>
    <row r="267" spans="1:11" s="43" customFormat="1" ht="22.5" customHeight="1">
      <c r="A267" s="17" t="s">
        <v>16</v>
      </c>
      <c r="B267" s="49" t="s">
        <v>201</v>
      </c>
      <c r="C267" s="50" t="s">
        <v>395</v>
      </c>
      <c r="D267" s="50" t="s">
        <v>143</v>
      </c>
      <c r="E267" s="98">
        <f>10987.4+4149.9</f>
        <v>15137.3</v>
      </c>
      <c r="F267" s="98">
        <f>10987.4+4149.9</f>
        <v>15137.3</v>
      </c>
      <c r="G267" s="98">
        <v>4000.9</v>
      </c>
      <c r="H267" s="98">
        <v>4000.9</v>
      </c>
      <c r="I267" s="110"/>
      <c r="J267" s="52"/>
      <c r="K267" s="115"/>
    </row>
    <row r="268" spans="1:11" s="30" customFormat="1" ht="19.5" customHeight="1">
      <c r="A268" s="14" t="s">
        <v>170</v>
      </c>
      <c r="B268" s="83" t="s">
        <v>201</v>
      </c>
      <c r="C268" s="80" t="s">
        <v>203</v>
      </c>
      <c r="D268" s="80" t="s">
        <v>157</v>
      </c>
      <c r="E268" s="81">
        <f>E269</f>
        <v>304121.39999999997</v>
      </c>
      <c r="F268" s="81"/>
      <c r="G268" s="81">
        <f>G269</f>
        <v>138621.09999999998</v>
      </c>
      <c r="H268" s="81"/>
      <c r="I268" s="23"/>
      <c r="K268" s="115"/>
    </row>
    <row r="269" spans="1:11" s="30" customFormat="1" ht="25.5">
      <c r="A269" s="10" t="s">
        <v>197</v>
      </c>
      <c r="B269" s="4" t="s">
        <v>201</v>
      </c>
      <c r="C269" s="4" t="s">
        <v>290</v>
      </c>
      <c r="D269" s="4" t="s">
        <v>157</v>
      </c>
      <c r="E269" s="89">
        <f>E270</f>
        <v>304121.39999999997</v>
      </c>
      <c r="F269" s="39"/>
      <c r="G269" s="89">
        <f>G270</f>
        <v>138621.09999999998</v>
      </c>
      <c r="H269" s="39"/>
      <c r="I269" s="23"/>
      <c r="K269" s="115"/>
    </row>
    <row r="270" spans="1:11" s="30" customFormat="1" ht="25.5">
      <c r="A270" s="10" t="s">
        <v>291</v>
      </c>
      <c r="B270" s="4" t="s">
        <v>201</v>
      </c>
      <c r="C270" s="4" t="s">
        <v>57</v>
      </c>
      <c r="D270" s="4" t="s">
        <v>157</v>
      </c>
      <c r="E270" s="89">
        <f>E271+E272</f>
        <v>304121.39999999997</v>
      </c>
      <c r="F270" s="39"/>
      <c r="G270" s="89">
        <f>G271+G272</f>
        <v>138621.09999999998</v>
      </c>
      <c r="H270" s="39"/>
      <c r="I270" s="23"/>
      <c r="K270" s="115"/>
    </row>
    <row r="271" spans="1:11" s="30" customFormat="1" ht="42.75" customHeight="1">
      <c r="A271" s="17" t="s">
        <v>250</v>
      </c>
      <c r="B271" s="4" t="s">
        <v>201</v>
      </c>
      <c r="C271" s="4" t="s">
        <v>57</v>
      </c>
      <c r="D271" s="4" t="s">
        <v>249</v>
      </c>
      <c r="E271" s="89">
        <f>181555.7+82934.3+671.2+160.1+1300</f>
        <v>266621.3</v>
      </c>
      <c r="F271" s="39"/>
      <c r="G271" s="89">
        <v>138406.3</v>
      </c>
      <c r="H271" s="39"/>
      <c r="I271" s="23"/>
      <c r="K271" s="115"/>
    </row>
    <row r="272" spans="1:11" s="30" customFormat="1" ht="21" customHeight="1">
      <c r="A272" s="93" t="s">
        <v>147</v>
      </c>
      <c r="B272" s="4" t="s">
        <v>201</v>
      </c>
      <c r="C272" s="4" t="s">
        <v>57</v>
      </c>
      <c r="D272" s="4" t="s">
        <v>146</v>
      </c>
      <c r="E272" s="89">
        <f>68.1+37432</f>
        <v>37500.1</v>
      </c>
      <c r="F272" s="39"/>
      <c r="G272" s="89">
        <v>214.8</v>
      </c>
      <c r="H272" s="39"/>
      <c r="I272" s="23"/>
      <c r="K272" s="115"/>
    </row>
    <row r="273" spans="1:11" s="30" customFormat="1" ht="16.5" customHeight="1">
      <c r="A273" s="14" t="s">
        <v>171</v>
      </c>
      <c r="B273" s="80" t="s">
        <v>201</v>
      </c>
      <c r="C273" s="82">
        <v>4240000</v>
      </c>
      <c r="D273" s="80" t="s">
        <v>157</v>
      </c>
      <c r="E273" s="81">
        <f>E274+E277</f>
        <v>15604.4</v>
      </c>
      <c r="F273" s="81">
        <f>F274+F277</f>
        <v>2694.6</v>
      </c>
      <c r="G273" s="81">
        <f>G274+G277</f>
        <v>6261.599999999999</v>
      </c>
      <c r="H273" s="81">
        <f>H274+H277</f>
        <v>724.5</v>
      </c>
      <c r="I273" s="23"/>
      <c r="K273" s="115"/>
    </row>
    <row r="274" spans="1:11" s="30" customFormat="1" ht="56.25" customHeight="1">
      <c r="A274" s="13" t="s">
        <v>392</v>
      </c>
      <c r="B274" s="2" t="s">
        <v>201</v>
      </c>
      <c r="C274" s="3">
        <v>4247020</v>
      </c>
      <c r="D274" s="2" t="s">
        <v>157</v>
      </c>
      <c r="E274" s="33">
        <f aca="true" t="shared" si="3" ref="E274:H275">E275</f>
        <v>2694.6</v>
      </c>
      <c r="F274" s="33">
        <f t="shared" si="3"/>
        <v>2694.6</v>
      </c>
      <c r="G274" s="33">
        <f t="shared" si="3"/>
        <v>724.5</v>
      </c>
      <c r="H274" s="33">
        <f t="shared" si="3"/>
        <v>724.5</v>
      </c>
      <c r="I274" s="23"/>
      <c r="K274" s="115"/>
    </row>
    <row r="275" spans="1:11" s="30" customFormat="1" ht="54.75" customHeight="1">
      <c r="A275" s="13" t="s">
        <v>392</v>
      </c>
      <c r="B275" s="2" t="s">
        <v>201</v>
      </c>
      <c r="C275" s="3">
        <v>4247020</v>
      </c>
      <c r="D275" s="2" t="s">
        <v>157</v>
      </c>
      <c r="E275" s="33">
        <f t="shared" si="3"/>
        <v>2694.6</v>
      </c>
      <c r="F275" s="33">
        <f t="shared" si="3"/>
        <v>2694.6</v>
      </c>
      <c r="G275" s="33">
        <f t="shared" si="3"/>
        <v>724.5</v>
      </c>
      <c r="H275" s="33">
        <f t="shared" si="3"/>
        <v>724.5</v>
      </c>
      <c r="I275" s="23"/>
      <c r="K275" s="115"/>
    </row>
    <row r="276" spans="1:11" s="30" customFormat="1" ht="33.75" customHeight="1">
      <c r="A276" s="13" t="s">
        <v>24</v>
      </c>
      <c r="B276" s="2" t="s">
        <v>201</v>
      </c>
      <c r="C276" s="3">
        <v>4247020</v>
      </c>
      <c r="D276" s="2" t="s">
        <v>23</v>
      </c>
      <c r="E276" s="33">
        <f>2694.6</f>
        <v>2694.6</v>
      </c>
      <c r="F276" s="33">
        <f>2694.6</f>
        <v>2694.6</v>
      </c>
      <c r="G276" s="33">
        <v>724.5</v>
      </c>
      <c r="H276" s="33">
        <v>724.5</v>
      </c>
      <c r="I276" s="23"/>
      <c r="K276" s="115"/>
    </row>
    <row r="277" spans="1:11" s="30" customFormat="1" ht="32.25" customHeight="1">
      <c r="A277" s="9" t="s">
        <v>197</v>
      </c>
      <c r="B277" s="2" t="s">
        <v>201</v>
      </c>
      <c r="C277" s="3">
        <v>4249999</v>
      </c>
      <c r="D277" s="2" t="s">
        <v>157</v>
      </c>
      <c r="E277" s="33">
        <f>E278+E279+E280+E281+E282+E283</f>
        <v>12909.8</v>
      </c>
      <c r="F277" s="36"/>
      <c r="G277" s="33">
        <f>G278+G279+G280+G281+G282+G283</f>
        <v>5537.099999999999</v>
      </c>
      <c r="H277" s="36"/>
      <c r="I277" s="23"/>
      <c r="K277" s="115"/>
    </row>
    <row r="278" spans="1:11" s="30" customFormat="1" ht="21" customHeight="1">
      <c r="A278" s="25" t="s">
        <v>224</v>
      </c>
      <c r="B278" s="49" t="s">
        <v>201</v>
      </c>
      <c r="C278" s="3">
        <v>4249999</v>
      </c>
      <c r="D278" s="50" t="s">
        <v>308</v>
      </c>
      <c r="E278" s="33">
        <f>10262.1-14.4</f>
        <v>10247.7</v>
      </c>
      <c r="F278" s="36"/>
      <c r="G278" s="33">
        <v>4167.2</v>
      </c>
      <c r="H278" s="36"/>
      <c r="I278" s="23"/>
      <c r="K278" s="115"/>
    </row>
    <row r="279" spans="1:11" s="30" customFormat="1" ht="30" customHeight="1">
      <c r="A279" s="100" t="s">
        <v>125</v>
      </c>
      <c r="B279" s="49" t="s">
        <v>201</v>
      </c>
      <c r="C279" s="3">
        <v>4249999</v>
      </c>
      <c r="D279" s="50" t="s">
        <v>354</v>
      </c>
      <c r="E279" s="33">
        <f>14.4</f>
        <v>14.4</v>
      </c>
      <c r="F279" s="36"/>
      <c r="G279" s="33">
        <v>7.2</v>
      </c>
      <c r="H279" s="36"/>
      <c r="I279" s="23"/>
      <c r="K279" s="115"/>
    </row>
    <row r="280" spans="1:11" s="30" customFormat="1" ht="27" customHeight="1">
      <c r="A280" s="10" t="s">
        <v>127</v>
      </c>
      <c r="B280" s="49" t="s">
        <v>201</v>
      </c>
      <c r="C280" s="3">
        <v>4249999</v>
      </c>
      <c r="D280" s="50" t="s">
        <v>126</v>
      </c>
      <c r="E280" s="33">
        <f>22.5+50</f>
        <v>72.5</v>
      </c>
      <c r="F280" s="36"/>
      <c r="G280" s="33">
        <v>37.7</v>
      </c>
      <c r="H280" s="36"/>
      <c r="I280" s="23"/>
      <c r="K280" s="115"/>
    </row>
    <row r="281" spans="1:11" s="30" customFormat="1" ht="30.75" customHeight="1">
      <c r="A281" s="13" t="s">
        <v>24</v>
      </c>
      <c r="B281" s="49" t="s">
        <v>201</v>
      </c>
      <c r="C281" s="3">
        <v>4249999</v>
      </c>
      <c r="D281" s="50" t="s">
        <v>23</v>
      </c>
      <c r="E281" s="33">
        <f>773.9+1050+80.3+9.8+7+20+3+120+90+72+72.7</f>
        <v>2298.7</v>
      </c>
      <c r="F281" s="36"/>
      <c r="G281" s="33">
        <v>1103.2</v>
      </c>
      <c r="H281" s="36"/>
      <c r="I281" s="23"/>
      <c r="K281" s="115"/>
    </row>
    <row r="282" spans="1:11" s="30" customFormat="1" ht="31.5" customHeight="1">
      <c r="A282" s="47" t="s">
        <v>309</v>
      </c>
      <c r="B282" s="49" t="s">
        <v>201</v>
      </c>
      <c r="C282" s="3">
        <v>4249999</v>
      </c>
      <c r="D282" s="50" t="s">
        <v>313</v>
      </c>
      <c r="E282" s="33">
        <f>80+196.5</f>
        <v>276.5</v>
      </c>
      <c r="F282" s="36"/>
      <c r="G282" s="33">
        <v>221.8</v>
      </c>
      <c r="H282" s="36"/>
      <c r="I282" s="23"/>
      <c r="K282" s="115"/>
    </row>
    <row r="283" spans="1:11" s="30" customFormat="1" ht="21" customHeight="1">
      <c r="A283" s="100" t="s">
        <v>310</v>
      </c>
      <c r="B283" s="49" t="s">
        <v>201</v>
      </c>
      <c r="C283" s="3">
        <v>4249999</v>
      </c>
      <c r="D283" s="50" t="s">
        <v>314</v>
      </c>
      <c r="E283" s="33">
        <v>0</v>
      </c>
      <c r="F283" s="36"/>
      <c r="G283" s="33">
        <v>0</v>
      </c>
      <c r="H283" s="36"/>
      <c r="I283" s="23"/>
      <c r="K283" s="115"/>
    </row>
    <row r="284" spans="1:11" s="30" customFormat="1" ht="45" customHeight="1">
      <c r="A284" s="100" t="s">
        <v>479</v>
      </c>
      <c r="B284" s="49" t="s">
        <v>201</v>
      </c>
      <c r="C284" s="3" t="s">
        <v>500</v>
      </c>
      <c r="D284" s="50" t="s">
        <v>157</v>
      </c>
      <c r="E284" s="33">
        <f>E285</f>
        <v>2775</v>
      </c>
      <c r="F284" s="36"/>
      <c r="G284" s="33">
        <f>G285</f>
        <v>1281.9</v>
      </c>
      <c r="H284" s="36"/>
      <c r="I284" s="23"/>
      <c r="K284" s="115"/>
    </row>
    <row r="285" spans="1:11" s="30" customFormat="1" ht="21" customHeight="1">
      <c r="A285" s="93" t="s">
        <v>147</v>
      </c>
      <c r="B285" s="49" t="s">
        <v>201</v>
      </c>
      <c r="C285" s="3" t="s">
        <v>500</v>
      </c>
      <c r="D285" s="50" t="s">
        <v>146</v>
      </c>
      <c r="E285" s="33">
        <f>1145+1630</f>
        <v>2775</v>
      </c>
      <c r="F285" s="36"/>
      <c r="G285" s="33">
        <v>1281.9</v>
      </c>
      <c r="H285" s="36"/>
      <c r="I285" s="23"/>
      <c r="K285" s="115"/>
    </row>
    <row r="286" spans="1:11" s="30" customFormat="1" ht="18.75" customHeight="1">
      <c r="A286" s="8" t="s">
        <v>256</v>
      </c>
      <c r="B286" s="2" t="s">
        <v>201</v>
      </c>
      <c r="C286" s="53">
        <v>5200000</v>
      </c>
      <c r="D286" s="2" t="s">
        <v>157</v>
      </c>
      <c r="E286" s="33">
        <f>E287</f>
        <v>13136</v>
      </c>
      <c r="F286" s="33">
        <f>F287</f>
        <v>13136</v>
      </c>
      <c r="G286" s="33">
        <f>G287</f>
        <v>5434.8</v>
      </c>
      <c r="H286" s="33">
        <f>H287</f>
        <v>5434.8</v>
      </c>
      <c r="I286" s="23"/>
      <c r="K286" s="115"/>
    </row>
    <row r="287" spans="1:11" s="30" customFormat="1" ht="43.5" customHeight="1">
      <c r="A287" s="8" t="s">
        <v>457</v>
      </c>
      <c r="B287" s="2" t="s">
        <v>201</v>
      </c>
      <c r="C287" s="53">
        <v>5200900</v>
      </c>
      <c r="D287" s="2" t="s">
        <v>157</v>
      </c>
      <c r="E287" s="33">
        <f>E289+E288</f>
        <v>13136</v>
      </c>
      <c r="F287" s="33">
        <f>F289+F288</f>
        <v>13136</v>
      </c>
      <c r="G287" s="33">
        <f>G289+G288</f>
        <v>5434.8</v>
      </c>
      <c r="H287" s="33">
        <f>H289+H288</f>
        <v>5434.8</v>
      </c>
      <c r="I287" s="23"/>
      <c r="K287" s="115"/>
    </row>
    <row r="288" spans="1:11" s="30" customFormat="1" ht="23.25" customHeight="1">
      <c r="A288" s="25" t="s">
        <v>224</v>
      </c>
      <c r="B288" s="2" t="s">
        <v>201</v>
      </c>
      <c r="C288" s="53">
        <v>5200900</v>
      </c>
      <c r="D288" s="2" t="s">
        <v>308</v>
      </c>
      <c r="E288" s="33">
        <f>276.1+828.8</f>
        <v>1104.9</v>
      </c>
      <c r="F288" s="33">
        <f>276.1+828.8</f>
        <v>1104.9</v>
      </c>
      <c r="G288" s="33">
        <v>450.6</v>
      </c>
      <c r="H288" s="33">
        <v>450.6</v>
      </c>
      <c r="I288" s="23"/>
      <c r="K288" s="115"/>
    </row>
    <row r="289" spans="1:11" s="30" customFormat="1" ht="24" customHeight="1">
      <c r="A289" s="93" t="s">
        <v>147</v>
      </c>
      <c r="B289" s="2" t="s">
        <v>201</v>
      </c>
      <c r="C289" s="53">
        <v>5200900</v>
      </c>
      <c r="D289" s="2" t="s">
        <v>146</v>
      </c>
      <c r="E289" s="33">
        <f>3007.9+9023.2</f>
        <v>12031.1</v>
      </c>
      <c r="F289" s="36">
        <f>3007.9+9023.2</f>
        <v>12031.1</v>
      </c>
      <c r="G289" s="33">
        <v>4984.2</v>
      </c>
      <c r="H289" s="36">
        <v>4984.2</v>
      </c>
      <c r="I289" s="23"/>
      <c r="K289" s="115"/>
    </row>
    <row r="290" spans="1:11" s="30" customFormat="1" ht="18.75" customHeight="1">
      <c r="A290" s="28" t="s">
        <v>122</v>
      </c>
      <c r="B290" s="1" t="s">
        <v>201</v>
      </c>
      <c r="C290" s="3">
        <v>5220000</v>
      </c>
      <c r="D290" s="1" t="s">
        <v>157</v>
      </c>
      <c r="E290" s="33">
        <f>E294+E291</f>
        <v>68463</v>
      </c>
      <c r="F290" s="36"/>
      <c r="G290" s="33">
        <f>G294+G291</f>
        <v>1867.5</v>
      </c>
      <c r="H290" s="36"/>
      <c r="I290" s="23"/>
      <c r="K290" s="115"/>
    </row>
    <row r="291" spans="1:11" s="30" customFormat="1" ht="68.25" customHeight="1">
      <c r="A291" s="28" t="s">
        <v>466</v>
      </c>
      <c r="B291" s="1" t="s">
        <v>201</v>
      </c>
      <c r="C291" s="3">
        <v>5223607</v>
      </c>
      <c r="D291" s="1" t="s">
        <v>157</v>
      </c>
      <c r="E291" s="33">
        <f>E293+E292</f>
        <v>12171.499999999998</v>
      </c>
      <c r="F291" s="36"/>
      <c r="G291" s="33">
        <f>G293+G292</f>
        <v>1188.1</v>
      </c>
      <c r="H291" s="36"/>
      <c r="I291" s="23"/>
      <c r="K291" s="115"/>
    </row>
    <row r="292" spans="1:11" s="30" customFormat="1" ht="21.75" customHeight="1">
      <c r="A292" s="25" t="s">
        <v>224</v>
      </c>
      <c r="B292" s="1" t="s">
        <v>201</v>
      </c>
      <c r="C292" s="3">
        <v>5223607</v>
      </c>
      <c r="D292" s="1" t="s">
        <v>308</v>
      </c>
      <c r="E292" s="33">
        <f>503.9</f>
        <v>503.9</v>
      </c>
      <c r="F292" s="36"/>
      <c r="G292" s="33">
        <v>64.6</v>
      </c>
      <c r="H292" s="36"/>
      <c r="I292" s="23"/>
      <c r="K292" s="115"/>
    </row>
    <row r="293" spans="1:11" s="30" customFormat="1" ht="41.25" customHeight="1">
      <c r="A293" s="17" t="s">
        <v>250</v>
      </c>
      <c r="B293" s="1" t="s">
        <v>201</v>
      </c>
      <c r="C293" s="3">
        <v>5223607</v>
      </c>
      <c r="D293" s="1" t="s">
        <v>249</v>
      </c>
      <c r="E293" s="33">
        <f>7883.4+3784.2</f>
        <v>11667.599999999999</v>
      </c>
      <c r="F293" s="36"/>
      <c r="G293" s="33">
        <v>1123.5</v>
      </c>
      <c r="H293" s="36"/>
      <c r="I293" s="23"/>
      <c r="K293" s="115"/>
    </row>
    <row r="294" spans="1:11" s="30" customFormat="1" ht="42.75" customHeight="1">
      <c r="A294" s="28" t="s">
        <v>443</v>
      </c>
      <c r="B294" s="2" t="s">
        <v>201</v>
      </c>
      <c r="C294" s="53">
        <v>5240000</v>
      </c>
      <c r="D294" s="2" t="s">
        <v>157</v>
      </c>
      <c r="E294" s="33">
        <f>E297+E300+E295+E303</f>
        <v>56291.5</v>
      </c>
      <c r="F294" s="36"/>
      <c r="G294" s="33">
        <f>G297+G300+G295+G303</f>
        <v>679.4</v>
      </c>
      <c r="H294" s="36"/>
      <c r="I294" s="23"/>
      <c r="K294" s="115"/>
    </row>
    <row r="295" spans="1:11" s="30" customFormat="1" ht="42.75" customHeight="1">
      <c r="A295" s="28" t="s">
        <v>448</v>
      </c>
      <c r="B295" s="2" t="s">
        <v>201</v>
      </c>
      <c r="C295" s="53">
        <v>5243200</v>
      </c>
      <c r="D295" s="2" t="s">
        <v>157</v>
      </c>
      <c r="E295" s="33">
        <f>E296</f>
        <v>1350</v>
      </c>
      <c r="F295" s="36"/>
      <c r="G295" s="33">
        <f>G296</f>
        <v>0</v>
      </c>
      <c r="H295" s="36"/>
      <c r="I295" s="23"/>
      <c r="K295" s="115"/>
    </row>
    <row r="296" spans="1:11" s="30" customFormat="1" ht="20.25" customHeight="1">
      <c r="A296" s="93" t="s">
        <v>147</v>
      </c>
      <c r="B296" s="2" t="s">
        <v>201</v>
      </c>
      <c r="C296" s="53">
        <v>5243200</v>
      </c>
      <c r="D296" s="2" t="s">
        <v>146</v>
      </c>
      <c r="E296" s="33">
        <f>1350</f>
        <v>1350</v>
      </c>
      <c r="F296" s="36"/>
      <c r="G296" s="33">
        <v>0</v>
      </c>
      <c r="H296" s="36"/>
      <c r="I296" s="23"/>
      <c r="K296" s="115"/>
    </row>
    <row r="297" spans="1:11" s="30" customFormat="1" ht="40.5" customHeight="1">
      <c r="A297" s="17" t="s">
        <v>447</v>
      </c>
      <c r="B297" s="2" t="s">
        <v>201</v>
      </c>
      <c r="C297" s="53">
        <v>5243300</v>
      </c>
      <c r="D297" s="2" t="s">
        <v>157</v>
      </c>
      <c r="E297" s="33">
        <f>E298+E299</f>
        <v>1158</v>
      </c>
      <c r="F297" s="36"/>
      <c r="G297" s="33">
        <f>G298+G299</f>
        <v>325.9</v>
      </c>
      <c r="H297" s="36"/>
      <c r="I297" s="23"/>
      <c r="K297" s="115"/>
    </row>
    <row r="298" spans="1:11" s="30" customFormat="1" ht="29.25" customHeight="1">
      <c r="A298" s="13" t="s">
        <v>24</v>
      </c>
      <c r="B298" s="2" t="s">
        <v>201</v>
      </c>
      <c r="C298" s="53">
        <v>5243300</v>
      </c>
      <c r="D298" s="2" t="s">
        <v>23</v>
      </c>
      <c r="E298" s="33">
        <f>302</f>
        <v>302</v>
      </c>
      <c r="F298" s="36"/>
      <c r="G298" s="33">
        <v>153.6</v>
      </c>
      <c r="H298" s="36"/>
      <c r="I298" s="23"/>
      <c r="K298" s="115"/>
    </row>
    <row r="299" spans="1:11" s="30" customFormat="1" ht="40.5" customHeight="1">
      <c r="A299" s="17" t="s">
        <v>250</v>
      </c>
      <c r="B299" s="2" t="s">
        <v>201</v>
      </c>
      <c r="C299" s="53">
        <v>5243300</v>
      </c>
      <c r="D299" s="2" t="s">
        <v>249</v>
      </c>
      <c r="E299" s="33">
        <f>856</f>
        <v>856</v>
      </c>
      <c r="F299" s="36"/>
      <c r="G299" s="33">
        <v>172.3</v>
      </c>
      <c r="H299" s="36"/>
      <c r="I299" s="23"/>
      <c r="K299" s="115"/>
    </row>
    <row r="300" spans="1:11" s="30" customFormat="1" ht="27" customHeight="1">
      <c r="A300" s="8" t="s">
        <v>427</v>
      </c>
      <c r="B300" s="2" t="s">
        <v>201</v>
      </c>
      <c r="C300" s="53">
        <v>5243400</v>
      </c>
      <c r="D300" s="2" t="s">
        <v>157</v>
      </c>
      <c r="E300" s="33">
        <f>E302+E301</f>
        <v>1213.5</v>
      </c>
      <c r="F300" s="36"/>
      <c r="G300" s="33">
        <f>G302+G301</f>
        <v>353.5</v>
      </c>
      <c r="H300" s="36"/>
      <c r="I300" s="23"/>
      <c r="K300" s="115"/>
    </row>
    <row r="301" spans="1:11" s="30" customFormat="1" ht="30.75" customHeight="1">
      <c r="A301" s="13" t="s">
        <v>127</v>
      </c>
      <c r="B301" s="2" t="s">
        <v>201</v>
      </c>
      <c r="C301" s="53">
        <v>5243400</v>
      </c>
      <c r="D301" s="2" t="s">
        <v>126</v>
      </c>
      <c r="E301" s="33">
        <f>366.8+0.1</f>
        <v>366.90000000000003</v>
      </c>
      <c r="F301" s="36"/>
      <c r="G301" s="33">
        <v>108.1</v>
      </c>
      <c r="H301" s="36"/>
      <c r="I301" s="23"/>
      <c r="K301" s="115"/>
    </row>
    <row r="302" spans="1:11" s="30" customFormat="1" ht="41.25" customHeight="1">
      <c r="A302" s="17" t="s">
        <v>250</v>
      </c>
      <c r="B302" s="2" t="s">
        <v>201</v>
      </c>
      <c r="C302" s="53">
        <v>5243400</v>
      </c>
      <c r="D302" s="2" t="s">
        <v>249</v>
      </c>
      <c r="E302" s="33">
        <f>30.5+816.2-0.1</f>
        <v>846.6</v>
      </c>
      <c r="F302" s="36"/>
      <c r="G302" s="33">
        <v>245.4</v>
      </c>
      <c r="H302" s="36"/>
      <c r="I302" s="23"/>
      <c r="K302" s="115"/>
    </row>
    <row r="303" spans="1:11" s="30" customFormat="1" ht="66.75" customHeight="1">
      <c r="A303" s="17" t="s">
        <v>456</v>
      </c>
      <c r="B303" s="2" t="s">
        <v>201</v>
      </c>
      <c r="C303" s="53">
        <v>5243900</v>
      </c>
      <c r="D303" s="2" t="s">
        <v>157</v>
      </c>
      <c r="E303" s="33">
        <f>E304</f>
        <v>52570</v>
      </c>
      <c r="F303" s="36"/>
      <c r="G303" s="33">
        <f>G304</f>
        <v>0</v>
      </c>
      <c r="H303" s="36"/>
      <c r="I303" s="23"/>
      <c r="K303" s="115"/>
    </row>
    <row r="304" spans="1:11" s="30" customFormat="1" ht="20.25" customHeight="1">
      <c r="A304" s="93" t="s">
        <v>147</v>
      </c>
      <c r="B304" s="2" t="s">
        <v>201</v>
      </c>
      <c r="C304" s="53">
        <v>5243900</v>
      </c>
      <c r="D304" s="2" t="s">
        <v>146</v>
      </c>
      <c r="E304" s="33">
        <f>12042+40528</f>
        <v>52570</v>
      </c>
      <c r="F304" s="36"/>
      <c r="G304" s="33">
        <v>0</v>
      </c>
      <c r="H304" s="36"/>
      <c r="I304" s="23"/>
      <c r="K304" s="115"/>
    </row>
    <row r="305" spans="1:11" s="30" customFormat="1" ht="18" customHeight="1">
      <c r="A305" s="15" t="s">
        <v>35</v>
      </c>
      <c r="B305" s="2" t="s">
        <v>201</v>
      </c>
      <c r="C305" s="3">
        <v>7950000</v>
      </c>
      <c r="D305" s="2" t="s">
        <v>157</v>
      </c>
      <c r="E305" s="33">
        <f>E306+E315+E313</f>
        <v>76313.5</v>
      </c>
      <c r="F305" s="36"/>
      <c r="G305" s="33">
        <f>G306+G315+G313</f>
        <v>2892.2</v>
      </c>
      <c r="H305" s="36"/>
      <c r="I305" s="23"/>
      <c r="K305" s="115"/>
    </row>
    <row r="306" spans="1:11" s="30" customFormat="1" ht="54.75" customHeight="1">
      <c r="A306" s="55" t="s">
        <v>345</v>
      </c>
      <c r="B306" s="1" t="s">
        <v>201</v>
      </c>
      <c r="C306" s="3">
        <v>7950040</v>
      </c>
      <c r="D306" s="1" t="s">
        <v>157</v>
      </c>
      <c r="E306" s="91">
        <f>E311+E310+E312+E308+E309+E307</f>
        <v>66034.6</v>
      </c>
      <c r="F306" s="34"/>
      <c r="G306" s="91">
        <f>G311+G310+G312+G308+G309+G307</f>
        <v>449</v>
      </c>
      <c r="H306" s="34"/>
      <c r="I306" s="23"/>
      <c r="K306" s="115"/>
    </row>
    <row r="307" spans="1:11" s="30" customFormat="1" ht="20.25" customHeight="1">
      <c r="A307" s="25" t="s">
        <v>224</v>
      </c>
      <c r="B307" s="1" t="s">
        <v>201</v>
      </c>
      <c r="C307" s="3">
        <v>7950040</v>
      </c>
      <c r="D307" s="6" t="s">
        <v>308</v>
      </c>
      <c r="E307" s="90">
        <v>26</v>
      </c>
      <c r="F307" s="34"/>
      <c r="G307" s="90">
        <v>25.5</v>
      </c>
      <c r="H307" s="34"/>
      <c r="I307" s="23"/>
      <c r="K307" s="115"/>
    </row>
    <row r="308" spans="1:11" s="30" customFormat="1" ht="27.75" customHeight="1">
      <c r="A308" s="13" t="s">
        <v>127</v>
      </c>
      <c r="B308" s="1" t="s">
        <v>201</v>
      </c>
      <c r="C308" s="3">
        <v>7950040</v>
      </c>
      <c r="D308" s="6" t="s">
        <v>126</v>
      </c>
      <c r="E308" s="90">
        <f>360-26</f>
        <v>334</v>
      </c>
      <c r="F308" s="34"/>
      <c r="G308" s="90">
        <v>0</v>
      </c>
      <c r="H308" s="34"/>
      <c r="I308" s="23"/>
      <c r="K308" s="115"/>
    </row>
    <row r="309" spans="1:11" s="30" customFormat="1" ht="31.5" customHeight="1">
      <c r="A309" s="13" t="s">
        <v>315</v>
      </c>
      <c r="B309" s="1" t="s">
        <v>201</v>
      </c>
      <c r="C309" s="3">
        <v>7950040</v>
      </c>
      <c r="D309" s="6" t="s">
        <v>316</v>
      </c>
      <c r="E309" s="90">
        <f>1900</f>
        <v>1900</v>
      </c>
      <c r="F309" s="34"/>
      <c r="G309" s="90">
        <v>8.3</v>
      </c>
      <c r="H309" s="34"/>
      <c r="I309" s="23"/>
      <c r="K309" s="115"/>
    </row>
    <row r="310" spans="1:11" s="30" customFormat="1" ht="32.25" customHeight="1">
      <c r="A310" s="13" t="s">
        <v>24</v>
      </c>
      <c r="B310" s="1" t="s">
        <v>201</v>
      </c>
      <c r="C310" s="3">
        <v>7950040</v>
      </c>
      <c r="D310" s="6" t="s">
        <v>23</v>
      </c>
      <c r="E310" s="90">
        <f>9.6</f>
        <v>9.6</v>
      </c>
      <c r="F310" s="34"/>
      <c r="G310" s="90">
        <v>6.9</v>
      </c>
      <c r="H310" s="34"/>
      <c r="I310" s="23"/>
      <c r="K310" s="115"/>
    </row>
    <row r="311" spans="1:11" s="30" customFormat="1" ht="43.5" customHeight="1">
      <c r="A311" s="17" t="s">
        <v>250</v>
      </c>
      <c r="B311" s="1" t="s">
        <v>201</v>
      </c>
      <c r="C311" s="3">
        <v>7950040</v>
      </c>
      <c r="D311" s="6" t="s">
        <v>249</v>
      </c>
      <c r="E311" s="90">
        <f>3402+612-3234</f>
        <v>780</v>
      </c>
      <c r="F311" s="34"/>
      <c r="G311" s="90">
        <v>0</v>
      </c>
      <c r="H311" s="34"/>
      <c r="I311" s="23"/>
      <c r="K311" s="115"/>
    </row>
    <row r="312" spans="1:11" s="30" customFormat="1" ht="19.5" customHeight="1">
      <c r="A312" s="93" t="s">
        <v>147</v>
      </c>
      <c r="B312" s="1" t="s">
        <v>201</v>
      </c>
      <c r="C312" s="7">
        <v>7950040</v>
      </c>
      <c r="D312" s="6" t="s">
        <v>146</v>
      </c>
      <c r="E312" s="90">
        <f>20000+35485-2500+10000</f>
        <v>62985</v>
      </c>
      <c r="F312" s="34"/>
      <c r="G312" s="90">
        <v>408.3</v>
      </c>
      <c r="H312" s="34"/>
      <c r="I312" s="23"/>
      <c r="K312" s="115"/>
    </row>
    <row r="313" spans="1:11" s="30" customFormat="1" ht="52.5" customHeight="1">
      <c r="A313" s="55" t="s">
        <v>331</v>
      </c>
      <c r="B313" s="1" t="s">
        <v>201</v>
      </c>
      <c r="C313" s="5" t="s">
        <v>137</v>
      </c>
      <c r="D313" s="5" t="s">
        <v>157</v>
      </c>
      <c r="E313" s="33">
        <f>E314</f>
        <v>4500</v>
      </c>
      <c r="F313" s="34"/>
      <c r="G313" s="33">
        <f>G314</f>
        <v>86.5</v>
      </c>
      <c r="H313" s="34"/>
      <c r="I313" s="23"/>
      <c r="K313" s="115"/>
    </row>
    <row r="314" spans="1:11" s="30" customFormat="1" ht="21.75" customHeight="1">
      <c r="A314" s="93" t="s">
        <v>147</v>
      </c>
      <c r="B314" s="1" t="s">
        <v>201</v>
      </c>
      <c r="C314" s="5" t="s">
        <v>137</v>
      </c>
      <c r="D314" s="5" t="s">
        <v>146</v>
      </c>
      <c r="E314" s="33">
        <f>4500</f>
        <v>4500</v>
      </c>
      <c r="F314" s="34"/>
      <c r="G314" s="33">
        <v>86.5</v>
      </c>
      <c r="H314" s="34"/>
      <c r="I314" s="23"/>
      <c r="K314" s="115"/>
    </row>
    <row r="315" spans="1:11" s="30" customFormat="1" ht="54.75" customHeight="1">
      <c r="A315" s="15" t="s">
        <v>97</v>
      </c>
      <c r="B315" s="2" t="s">
        <v>201</v>
      </c>
      <c r="C315" s="3">
        <v>7950000</v>
      </c>
      <c r="D315" s="2" t="s">
        <v>157</v>
      </c>
      <c r="E315" s="33">
        <f>E318+E316+E317</f>
        <v>5778.9</v>
      </c>
      <c r="F315" s="36"/>
      <c r="G315" s="33">
        <f>G318+G316+G317</f>
        <v>2356.7</v>
      </c>
      <c r="H315" s="36"/>
      <c r="I315" s="23"/>
      <c r="K315" s="115"/>
    </row>
    <row r="316" spans="1:11" s="30" customFormat="1" ht="28.5" customHeight="1">
      <c r="A316" s="13" t="s">
        <v>24</v>
      </c>
      <c r="B316" s="2" t="s">
        <v>201</v>
      </c>
      <c r="C316" s="3">
        <v>7950110</v>
      </c>
      <c r="D316" s="2" t="s">
        <v>23</v>
      </c>
      <c r="E316" s="33">
        <f>280.3</f>
        <v>280.3</v>
      </c>
      <c r="F316" s="36"/>
      <c r="G316" s="33">
        <v>126.7</v>
      </c>
      <c r="H316" s="36"/>
      <c r="I316" s="23"/>
      <c r="K316" s="115"/>
    </row>
    <row r="317" spans="1:11" s="30" customFormat="1" ht="42" customHeight="1">
      <c r="A317" s="17" t="s">
        <v>250</v>
      </c>
      <c r="B317" s="2" t="s">
        <v>201</v>
      </c>
      <c r="C317" s="3">
        <v>7950110</v>
      </c>
      <c r="D317" s="2" t="s">
        <v>249</v>
      </c>
      <c r="E317" s="33">
        <f>3998.6</f>
        <v>3998.6</v>
      </c>
      <c r="F317" s="36"/>
      <c r="G317" s="33">
        <v>2230</v>
      </c>
      <c r="H317" s="36"/>
      <c r="I317" s="23"/>
      <c r="K317" s="115"/>
    </row>
    <row r="318" spans="1:11" s="30" customFormat="1" ht="21" customHeight="1">
      <c r="A318" s="93" t="s">
        <v>147</v>
      </c>
      <c r="B318" s="2" t="s">
        <v>201</v>
      </c>
      <c r="C318" s="3">
        <v>7950110</v>
      </c>
      <c r="D318" s="2" t="s">
        <v>146</v>
      </c>
      <c r="E318" s="33">
        <v>1500</v>
      </c>
      <c r="F318" s="36"/>
      <c r="G318" s="33">
        <v>0</v>
      </c>
      <c r="H318" s="36"/>
      <c r="I318" s="23"/>
      <c r="K318" s="115"/>
    </row>
    <row r="319" spans="1:11" s="30" customFormat="1" ht="30.75" customHeight="1">
      <c r="A319" s="20" t="s">
        <v>302</v>
      </c>
      <c r="B319" s="80" t="s">
        <v>301</v>
      </c>
      <c r="C319" s="80" t="s">
        <v>183</v>
      </c>
      <c r="D319" s="80" t="s">
        <v>157</v>
      </c>
      <c r="E319" s="81">
        <f aca="true" t="shared" si="4" ref="E319:H320">E320</f>
        <v>1379</v>
      </c>
      <c r="F319" s="81">
        <f t="shared" si="4"/>
        <v>1379</v>
      </c>
      <c r="G319" s="81">
        <f t="shared" si="4"/>
        <v>676.4</v>
      </c>
      <c r="H319" s="81">
        <f t="shared" si="4"/>
        <v>676.4</v>
      </c>
      <c r="I319" s="23"/>
      <c r="K319" s="115"/>
    </row>
    <row r="320" spans="1:11" s="30" customFormat="1" ht="82.5" customHeight="1">
      <c r="A320" s="17" t="s">
        <v>355</v>
      </c>
      <c r="B320" s="2" t="s">
        <v>301</v>
      </c>
      <c r="C320" s="3">
        <v>4307023</v>
      </c>
      <c r="D320" s="2" t="s">
        <v>157</v>
      </c>
      <c r="E320" s="33">
        <f t="shared" si="4"/>
        <v>1379</v>
      </c>
      <c r="F320" s="36">
        <f t="shared" si="4"/>
        <v>1379</v>
      </c>
      <c r="G320" s="33">
        <f t="shared" si="4"/>
        <v>676.4</v>
      </c>
      <c r="H320" s="36">
        <f t="shared" si="4"/>
        <v>676.4</v>
      </c>
      <c r="I320" s="23"/>
      <c r="K320" s="115"/>
    </row>
    <row r="321" spans="1:11" s="30" customFormat="1" ht="22.5" customHeight="1">
      <c r="A321" s="17" t="s">
        <v>16</v>
      </c>
      <c r="B321" s="2" t="s">
        <v>301</v>
      </c>
      <c r="C321" s="3">
        <v>4307023</v>
      </c>
      <c r="D321" s="2" t="s">
        <v>143</v>
      </c>
      <c r="E321" s="33">
        <f>1379</f>
        <v>1379</v>
      </c>
      <c r="F321" s="33">
        <f>1379</f>
        <v>1379</v>
      </c>
      <c r="G321" s="33">
        <v>676.4</v>
      </c>
      <c r="H321" s="33">
        <v>676.4</v>
      </c>
      <c r="I321" s="23"/>
      <c r="K321" s="115"/>
    </row>
    <row r="322" spans="1:11" s="30" customFormat="1" ht="18" customHeight="1">
      <c r="A322" s="20" t="s">
        <v>204</v>
      </c>
      <c r="B322" s="80" t="s">
        <v>163</v>
      </c>
      <c r="C322" s="80" t="s">
        <v>183</v>
      </c>
      <c r="D322" s="80" t="s">
        <v>157</v>
      </c>
      <c r="E322" s="81">
        <f>E323+E333+E329</f>
        <v>35069.4</v>
      </c>
      <c r="F322" s="81"/>
      <c r="G322" s="81">
        <f>G323+G333+G329</f>
        <v>12876.5</v>
      </c>
      <c r="H322" s="81"/>
      <c r="I322" s="23"/>
      <c r="K322" s="115"/>
    </row>
    <row r="323" spans="1:11" s="30" customFormat="1" ht="21.75" customHeight="1">
      <c r="A323" s="8" t="s">
        <v>205</v>
      </c>
      <c r="B323" s="2" t="s">
        <v>163</v>
      </c>
      <c r="C323" s="2" t="s">
        <v>206</v>
      </c>
      <c r="D323" s="2" t="s">
        <v>157</v>
      </c>
      <c r="E323" s="33">
        <f>E324+E326</f>
        <v>7684.4</v>
      </c>
      <c r="F323" s="36"/>
      <c r="G323" s="33">
        <f>G324+G326</f>
        <v>7684.4</v>
      </c>
      <c r="H323" s="36"/>
      <c r="I323" s="23"/>
      <c r="K323" s="115"/>
    </row>
    <row r="324" spans="1:11" s="30" customFormat="1" ht="18" customHeight="1">
      <c r="A324" s="8" t="s">
        <v>258</v>
      </c>
      <c r="B324" s="2" t="s">
        <v>163</v>
      </c>
      <c r="C324" s="2" t="s">
        <v>15</v>
      </c>
      <c r="D324" s="2" t="s">
        <v>157</v>
      </c>
      <c r="E324" s="33">
        <f>E325</f>
        <v>0</v>
      </c>
      <c r="F324" s="36"/>
      <c r="G324" s="33">
        <f>G325</f>
        <v>0</v>
      </c>
      <c r="H324" s="36"/>
      <c r="I324" s="23"/>
      <c r="K324" s="115"/>
    </row>
    <row r="325" spans="1:11" s="30" customFormat="1" ht="30" customHeight="1">
      <c r="A325" s="13" t="s">
        <v>24</v>
      </c>
      <c r="B325" s="2" t="s">
        <v>163</v>
      </c>
      <c r="C325" s="2" t="s">
        <v>15</v>
      </c>
      <c r="D325" s="2" t="s">
        <v>23</v>
      </c>
      <c r="E325" s="33">
        <f>200-200</f>
        <v>0</v>
      </c>
      <c r="F325" s="36"/>
      <c r="G325" s="33">
        <v>0</v>
      </c>
      <c r="H325" s="36"/>
      <c r="I325" s="23"/>
      <c r="K325" s="115"/>
    </row>
    <row r="326" spans="1:11" s="30" customFormat="1" ht="25.5">
      <c r="A326" s="8" t="s">
        <v>197</v>
      </c>
      <c r="B326" s="2" t="s">
        <v>163</v>
      </c>
      <c r="C326" s="2" t="s">
        <v>71</v>
      </c>
      <c r="D326" s="2" t="s">
        <v>157</v>
      </c>
      <c r="E326" s="33">
        <f>E327</f>
        <v>7684.4</v>
      </c>
      <c r="F326" s="36"/>
      <c r="G326" s="33">
        <f>G327</f>
        <v>7684.4</v>
      </c>
      <c r="H326" s="36"/>
      <c r="I326" s="23"/>
      <c r="K326" s="115"/>
    </row>
    <row r="327" spans="1:11" s="30" customFormat="1" ht="28.5" customHeight="1">
      <c r="A327" s="18" t="s">
        <v>58</v>
      </c>
      <c r="B327" s="2" t="s">
        <v>163</v>
      </c>
      <c r="C327" s="2" t="s">
        <v>72</v>
      </c>
      <c r="D327" s="2" t="s">
        <v>157</v>
      </c>
      <c r="E327" s="33">
        <f>E328</f>
        <v>7684.4</v>
      </c>
      <c r="F327" s="36"/>
      <c r="G327" s="33">
        <f>G328</f>
        <v>7684.4</v>
      </c>
      <c r="H327" s="36"/>
      <c r="I327" s="23"/>
      <c r="K327" s="115"/>
    </row>
    <row r="328" spans="1:11" s="30" customFormat="1" ht="43.5" customHeight="1">
      <c r="A328" s="17" t="s">
        <v>250</v>
      </c>
      <c r="B328" s="2" t="s">
        <v>163</v>
      </c>
      <c r="C328" s="2" t="s">
        <v>72</v>
      </c>
      <c r="D328" s="2" t="s">
        <v>249</v>
      </c>
      <c r="E328" s="33">
        <f>7884.4-200</f>
        <v>7684.4</v>
      </c>
      <c r="F328" s="36"/>
      <c r="G328" s="33">
        <v>7684.4</v>
      </c>
      <c r="H328" s="36"/>
      <c r="I328" s="23"/>
      <c r="K328" s="115"/>
    </row>
    <row r="329" spans="1:11" s="30" customFormat="1" ht="55.5" customHeight="1">
      <c r="A329" s="19" t="s">
        <v>461</v>
      </c>
      <c r="B329" s="2" t="s">
        <v>163</v>
      </c>
      <c r="C329" s="2" t="s">
        <v>458</v>
      </c>
      <c r="D329" s="2" t="s">
        <v>157</v>
      </c>
      <c r="E329" s="33">
        <f>E330</f>
        <v>17023</v>
      </c>
      <c r="F329" s="36"/>
      <c r="G329" s="33">
        <f>G330</f>
        <v>2680.5</v>
      </c>
      <c r="H329" s="36"/>
      <c r="I329" s="23"/>
      <c r="K329" s="115"/>
    </row>
    <row r="330" spans="1:11" s="30" customFormat="1" ht="28.5" customHeight="1">
      <c r="A330" s="19" t="s">
        <v>460</v>
      </c>
      <c r="B330" s="2" t="s">
        <v>163</v>
      </c>
      <c r="C330" s="2" t="s">
        <v>459</v>
      </c>
      <c r="D330" s="2" t="s">
        <v>157</v>
      </c>
      <c r="E330" s="33">
        <f>E331+E332</f>
        <v>17023</v>
      </c>
      <c r="F330" s="36"/>
      <c r="G330" s="33">
        <f>G331+G332</f>
        <v>2680.5</v>
      </c>
      <c r="H330" s="36"/>
      <c r="I330" s="23"/>
      <c r="K330" s="115"/>
    </row>
    <row r="331" spans="1:11" s="30" customFormat="1" ht="29.25" customHeight="1">
      <c r="A331" s="13" t="s">
        <v>24</v>
      </c>
      <c r="B331" s="2" t="s">
        <v>163</v>
      </c>
      <c r="C331" s="2" t="s">
        <v>459</v>
      </c>
      <c r="D331" s="2" t="s">
        <v>23</v>
      </c>
      <c r="E331" s="33">
        <f>17023-2000.7</f>
        <v>15022.3</v>
      </c>
      <c r="F331" s="36"/>
      <c r="G331" s="33">
        <v>679.8</v>
      </c>
      <c r="H331" s="36"/>
      <c r="I331" s="23"/>
      <c r="K331" s="115"/>
    </row>
    <row r="332" spans="1:11" s="30" customFormat="1" ht="42.75" customHeight="1">
      <c r="A332" s="17" t="s">
        <v>250</v>
      </c>
      <c r="B332" s="2" t="s">
        <v>163</v>
      </c>
      <c r="C332" s="2" t="s">
        <v>459</v>
      </c>
      <c r="D332" s="2" t="s">
        <v>249</v>
      </c>
      <c r="E332" s="33">
        <v>2000.7</v>
      </c>
      <c r="F332" s="36"/>
      <c r="G332" s="33">
        <v>2000.7</v>
      </c>
      <c r="H332" s="36"/>
      <c r="I332" s="23"/>
      <c r="K332" s="115"/>
    </row>
    <row r="333" spans="1:11" s="30" customFormat="1" ht="16.5" customHeight="1">
      <c r="A333" s="18" t="s">
        <v>35</v>
      </c>
      <c r="B333" s="2" t="s">
        <v>163</v>
      </c>
      <c r="C333" s="2" t="s">
        <v>36</v>
      </c>
      <c r="D333" s="2" t="s">
        <v>157</v>
      </c>
      <c r="E333" s="33">
        <f>E338+E334+E340</f>
        <v>10362</v>
      </c>
      <c r="F333" s="36"/>
      <c r="G333" s="33">
        <f>G338+G334+G340</f>
        <v>2511.6</v>
      </c>
      <c r="H333" s="36"/>
      <c r="I333" s="23"/>
      <c r="K333" s="115"/>
    </row>
    <row r="334" spans="1:11" s="30" customFormat="1" ht="54.75" customHeight="1">
      <c r="A334" s="46" t="s">
        <v>344</v>
      </c>
      <c r="B334" s="45" t="s">
        <v>163</v>
      </c>
      <c r="C334" s="45" t="s">
        <v>78</v>
      </c>
      <c r="D334" s="45" t="s">
        <v>157</v>
      </c>
      <c r="E334" s="99">
        <f>E335</f>
        <v>7900.000000000001</v>
      </c>
      <c r="F334" s="54"/>
      <c r="G334" s="99">
        <f>G335</f>
        <v>2239.2</v>
      </c>
      <c r="H334" s="54"/>
      <c r="I334" s="23"/>
      <c r="K334" s="115"/>
    </row>
    <row r="335" spans="1:11" s="30" customFormat="1" ht="18.75" customHeight="1">
      <c r="A335" s="46" t="s">
        <v>77</v>
      </c>
      <c r="B335" s="45" t="s">
        <v>163</v>
      </c>
      <c r="C335" s="45" t="s">
        <v>78</v>
      </c>
      <c r="D335" s="45" t="s">
        <v>157</v>
      </c>
      <c r="E335" s="99">
        <f>E337+E336</f>
        <v>7900.000000000001</v>
      </c>
      <c r="F335" s="54"/>
      <c r="G335" s="99">
        <f>G337+G336</f>
        <v>2239.2</v>
      </c>
      <c r="H335" s="54"/>
      <c r="I335" s="23"/>
      <c r="K335" s="115"/>
    </row>
    <row r="336" spans="1:11" s="30" customFormat="1" ht="27.75" customHeight="1">
      <c r="A336" s="13" t="s">
        <v>24</v>
      </c>
      <c r="B336" s="45" t="s">
        <v>163</v>
      </c>
      <c r="C336" s="45" t="s">
        <v>78</v>
      </c>
      <c r="D336" s="45" t="s">
        <v>23</v>
      </c>
      <c r="E336" s="99">
        <f>1436.4+503.2</f>
        <v>1939.6000000000001</v>
      </c>
      <c r="F336" s="54"/>
      <c r="G336" s="99">
        <v>1939.6</v>
      </c>
      <c r="H336" s="54"/>
      <c r="I336" s="23"/>
      <c r="K336" s="115"/>
    </row>
    <row r="337" spans="1:11" s="30" customFormat="1" ht="41.25" customHeight="1">
      <c r="A337" s="17" t="s">
        <v>250</v>
      </c>
      <c r="B337" s="45" t="s">
        <v>163</v>
      </c>
      <c r="C337" s="45" t="s">
        <v>78</v>
      </c>
      <c r="D337" s="45" t="s">
        <v>249</v>
      </c>
      <c r="E337" s="99">
        <f>7900-1436.4-503.2</f>
        <v>5960.400000000001</v>
      </c>
      <c r="F337" s="54"/>
      <c r="G337" s="99">
        <v>299.6</v>
      </c>
      <c r="H337" s="54"/>
      <c r="I337" s="110"/>
      <c r="J337" s="52"/>
      <c r="K337" s="115"/>
    </row>
    <row r="338" spans="1:11" s="43" customFormat="1" ht="56.25" customHeight="1">
      <c r="A338" s="55" t="s">
        <v>136</v>
      </c>
      <c r="B338" s="45" t="s">
        <v>163</v>
      </c>
      <c r="C338" s="45" t="s">
        <v>75</v>
      </c>
      <c r="D338" s="45" t="s">
        <v>157</v>
      </c>
      <c r="E338" s="99">
        <f>E339</f>
        <v>2000</v>
      </c>
      <c r="F338" s="54"/>
      <c r="G338" s="99">
        <f>G339</f>
        <v>137</v>
      </c>
      <c r="H338" s="54"/>
      <c r="I338" s="110"/>
      <c r="J338" s="52"/>
      <c r="K338" s="115"/>
    </row>
    <row r="339" spans="1:11" s="43" customFormat="1" ht="39" customHeight="1">
      <c r="A339" s="17" t="s">
        <v>250</v>
      </c>
      <c r="B339" s="45" t="s">
        <v>163</v>
      </c>
      <c r="C339" s="45" t="s">
        <v>75</v>
      </c>
      <c r="D339" s="45" t="s">
        <v>249</v>
      </c>
      <c r="E339" s="99">
        <f>2262-262</f>
        <v>2000</v>
      </c>
      <c r="F339" s="54"/>
      <c r="G339" s="99">
        <v>137</v>
      </c>
      <c r="H339" s="54"/>
      <c r="I339" s="110"/>
      <c r="J339" s="52"/>
      <c r="K339" s="115"/>
    </row>
    <row r="340" spans="1:11" s="43" customFormat="1" ht="41.25" customHeight="1">
      <c r="A340" s="55" t="s">
        <v>401</v>
      </c>
      <c r="B340" s="45" t="s">
        <v>163</v>
      </c>
      <c r="C340" s="45" t="s">
        <v>400</v>
      </c>
      <c r="D340" s="45" t="s">
        <v>157</v>
      </c>
      <c r="E340" s="99">
        <f>E342+E341</f>
        <v>462</v>
      </c>
      <c r="F340" s="54"/>
      <c r="G340" s="99">
        <f>G342+G341</f>
        <v>135.4</v>
      </c>
      <c r="H340" s="54"/>
      <c r="I340" s="110"/>
      <c r="J340" s="52"/>
      <c r="K340" s="115"/>
    </row>
    <row r="341" spans="1:11" s="43" customFormat="1" ht="30.75" customHeight="1">
      <c r="A341" s="13" t="s">
        <v>24</v>
      </c>
      <c r="B341" s="45" t="s">
        <v>163</v>
      </c>
      <c r="C341" s="45" t="s">
        <v>400</v>
      </c>
      <c r="D341" s="45" t="s">
        <v>23</v>
      </c>
      <c r="E341" s="99">
        <f>462</f>
        <v>462</v>
      </c>
      <c r="F341" s="54"/>
      <c r="G341" s="99">
        <v>135.4</v>
      </c>
      <c r="H341" s="54"/>
      <c r="I341" s="110"/>
      <c r="J341" s="52"/>
      <c r="K341" s="115"/>
    </row>
    <row r="342" spans="1:11" s="43" customFormat="1" ht="42.75" customHeight="1">
      <c r="A342" s="17" t="s">
        <v>250</v>
      </c>
      <c r="B342" s="45" t="s">
        <v>163</v>
      </c>
      <c r="C342" s="45" t="s">
        <v>400</v>
      </c>
      <c r="D342" s="45" t="s">
        <v>249</v>
      </c>
      <c r="E342" s="99">
        <f>462-462</f>
        <v>0</v>
      </c>
      <c r="F342" s="54"/>
      <c r="G342" s="99">
        <v>0</v>
      </c>
      <c r="H342" s="54"/>
      <c r="I342" s="110"/>
      <c r="J342" s="52"/>
      <c r="K342" s="115"/>
    </row>
    <row r="343" spans="1:11" s="43" customFormat="1" ht="17.25" customHeight="1">
      <c r="A343" s="77" t="s">
        <v>207</v>
      </c>
      <c r="B343" s="78" t="s">
        <v>208</v>
      </c>
      <c r="C343" s="78" t="s">
        <v>183</v>
      </c>
      <c r="D343" s="78" t="s">
        <v>157</v>
      </c>
      <c r="E343" s="79">
        <f>E356+E373+E344+E370</f>
        <v>85927.9</v>
      </c>
      <c r="F343" s="79">
        <f>F356+F373+F344</f>
        <v>2770.5</v>
      </c>
      <c r="G343" s="79">
        <f>G356+G373+G344+G370</f>
        <v>32898.6</v>
      </c>
      <c r="H343" s="79">
        <f>H356+H373+H344</f>
        <v>846.6</v>
      </c>
      <c r="I343" s="110"/>
      <c r="J343" s="52"/>
      <c r="K343" s="115"/>
    </row>
    <row r="344" spans="1:11" s="43" customFormat="1" ht="17.25" customHeight="1">
      <c r="A344" s="8" t="s">
        <v>196</v>
      </c>
      <c r="B344" s="45" t="s">
        <v>208</v>
      </c>
      <c r="C344" s="2" t="s">
        <v>264</v>
      </c>
      <c r="D344" s="2" t="s">
        <v>157</v>
      </c>
      <c r="E344" s="99">
        <f>E345+E348+E351</f>
        <v>28733.4</v>
      </c>
      <c r="F344" s="54"/>
      <c r="G344" s="99">
        <f>G345+G348+G351</f>
        <v>12877</v>
      </c>
      <c r="H344" s="54"/>
      <c r="I344" s="110"/>
      <c r="J344" s="52"/>
      <c r="K344" s="115"/>
    </row>
    <row r="345" spans="1:11" s="43" customFormat="1" ht="19.5" customHeight="1">
      <c r="A345" s="47" t="s">
        <v>334</v>
      </c>
      <c r="B345" s="45" t="s">
        <v>208</v>
      </c>
      <c r="C345" s="2" t="s">
        <v>3</v>
      </c>
      <c r="D345" s="2" t="s">
        <v>157</v>
      </c>
      <c r="E345" s="99">
        <f>E346+E347</f>
        <v>3910.2000000000003</v>
      </c>
      <c r="F345" s="54"/>
      <c r="G345" s="99">
        <f>G346+G347</f>
        <v>1113.9</v>
      </c>
      <c r="H345" s="54"/>
      <c r="I345" s="110"/>
      <c r="J345" s="52"/>
      <c r="K345" s="115"/>
    </row>
    <row r="346" spans="1:11" s="43" customFormat="1" ht="18.75" customHeight="1">
      <c r="A346" s="25" t="s">
        <v>224</v>
      </c>
      <c r="B346" s="45" t="s">
        <v>208</v>
      </c>
      <c r="C346" s="2" t="s">
        <v>3</v>
      </c>
      <c r="D346" s="2" t="s">
        <v>222</v>
      </c>
      <c r="E346" s="99">
        <f>2072.9+1011</f>
        <v>3083.9</v>
      </c>
      <c r="F346" s="54"/>
      <c r="G346" s="99">
        <v>1113.9</v>
      </c>
      <c r="H346" s="54"/>
      <c r="I346" s="110"/>
      <c r="J346" s="52"/>
      <c r="K346" s="115"/>
    </row>
    <row r="347" spans="1:11" s="43" customFormat="1" ht="27.75" customHeight="1">
      <c r="A347" s="100" t="s">
        <v>125</v>
      </c>
      <c r="B347" s="45" t="s">
        <v>208</v>
      </c>
      <c r="C347" s="2" t="s">
        <v>3</v>
      </c>
      <c r="D347" s="2" t="s">
        <v>223</v>
      </c>
      <c r="E347" s="99">
        <f>590.2+236.1</f>
        <v>826.3000000000001</v>
      </c>
      <c r="F347" s="54"/>
      <c r="G347" s="99">
        <v>0</v>
      </c>
      <c r="H347" s="54"/>
      <c r="I347" s="110"/>
      <c r="J347" s="52"/>
      <c r="K347" s="115"/>
    </row>
    <row r="348" spans="1:11" s="43" customFormat="1" ht="12.75">
      <c r="A348" s="47" t="s">
        <v>335</v>
      </c>
      <c r="B348" s="45" t="s">
        <v>208</v>
      </c>
      <c r="C348" s="2" t="s">
        <v>6</v>
      </c>
      <c r="D348" s="2" t="s">
        <v>157</v>
      </c>
      <c r="E348" s="99">
        <f>E349+E350</f>
        <v>14865.3</v>
      </c>
      <c r="F348" s="54"/>
      <c r="G348" s="99">
        <f>G349+G350</f>
        <v>6057.6</v>
      </c>
      <c r="H348" s="54"/>
      <c r="I348" s="110"/>
      <c r="J348" s="52"/>
      <c r="K348" s="115"/>
    </row>
    <row r="349" spans="1:11" s="43" customFormat="1" ht="21" customHeight="1">
      <c r="A349" s="25" t="s">
        <v>224</v>
      </c>
      <c r="B349" s="45" t="s">
        <v>208</v>
      </c>
      <c r="C349" s="2" t="s">
        <v>6</v>
      </c>
      <c r="D349" s="2" t="s">
        <v>222</v>
      </c>
      <c r="E349" s="99">
        <f>12496.6</f>
        <v>12496.6</v>
      </c>
      <c r="F349" s="54"/>
      <c r="G349" s="99">
        <v>5934.5</v>
      </c>
      <c r="H349" s="54"/>
      <c r="I349" s="110"/>
      <c r="J349" s="52"/>
      <c r="K349" s="115"/>
    </row>
    <row r="350" spans="1:11" s="43" customFormat="1" ht="30.75" customHeight="1">
      <c r="A350" s="100" t="s">
        <v>125</v>
      </c>
      <c r="B350" s="45" t="s">
        <v>208</v>
      </c>
      <c r="C350" s="2" t="s">
        <v>6</v>
      </c>
      <c r="D350" s="2" t="s">
        <v>223</v>
      </c>
      <c r="E350" s="99">
        <f>2368.7</f>
        <v>2368.7</v>
      </c>
      <c r="F350" s="54"/>
      <c r="G350" s="99">
        <v>123.1</v>
      </c>
      <c r="H350" s="54"/>
      <c r="I350" s="110"/>
      <c r="J350" s="52"/>
      <c r="K350" s="115"/>
    </row>
    <row r="351" spans="1:11" s="43" customFormat="1" ht="25.5">
      <c r="A351" s="47" t="s">
        <v>100</v>
      </c>
      <c r="B351" s="45" t="s">
        <v>208</v>
      </c>
      <c r="C351" s="2" t="s">
        <v>54</v>
      </c>
      <c r="D351" s="2" t="s">
        <v>157</v>
      </c>
      <c r="E351" s="99">
        <f>E352+E353+E354</f>
        <v>9957.9</v>
      </c>
      <c r="F351" s="54"/>
      <c r="G351" s="99">
        <f>G352+G353+G354</f>
        <v>5705.5</v>
      </c>
      <c r="H351" s="54"/>
      <c r="I351" s="110"/>
      <c r="J351" s="52"/>
      <c r="K351" s="115"/>
    </row>
    <row r="352" spans="1:11" s="43" customFormat="1" ht="28.5" customHeight="1">
      <c r="A352" s="10" t="s">
        <v>127</v>
      </c>
      <c r="B352" s="45" t="s">
        <v>208</v>
      </c>
      <c r="C352" s="2" t="s">
        <v>54</v>
      </c>
      <c r="D352" s="2" t="s">
        <v>126</v>
      </c>
      <c r="E352" s="99">
        <f>950</f>
        <v>950</v>
      </c>
      <c r="F352" s="54"/>
      <c r="G352" s="99">
        <v>249.1</v>
      </c>
      <c r="H352" s="54"/>
      <c r="I352" s="110"/>
      <c r="J352" s="52"/>
      <c r="K352" s="115"/>
    </row>
    <row r="353" spans="1:11" s="43" customFormat="1" ht="29.25" customHeight="1">
      <c r="A353" s="13" t="s">
        <v>24</v>
      </c>
      <c r="B353" s="45" t="s">
        <v>208</v>
      </c>
      <c r="C353" s="2" t="s">
        <v>54</v>
      </c>
      <c r="D353" s="2" t="s">
        <v>23</v>
      </c>
      <c r="E353" s="99">
        <f>2660</f>
        <v>2660</v>
      </c>
      <c r="F353" s="54"/>
      <c r="G353" s="99">
        <v>235.6</v>
      </c>
      <c r="H353" s="54"/>
      <c r="I353" s="110"/>
      <c r="J353" s="52"/>
      <c r="K353" s="115"/>
    </row>
    <row r="354" spans="1:11" s="43" customFormat="1" ht="29.25" customHeight="1">
      <c r="A354" s="47" t="s">
        <v>309</v>
      </c>
      <c r="B354" s="45" t="s">
        <v>208</v>
      </c>
      <c r="C354" s="2" t="s">
        <v>54</v>
      </c>
      <c r="D354" s="2" t="s">
        <v>313</v>
      </c>
      <c r="E354" s="91">
        <f>2250+4097.9</f>
        <v>6347.9</v>
      </c>
      <c r="F354" s="36"/>
      <c r="G354" s="91">
        <v>5220.8</v>
      </c>
      <c r="H354" s="36"/>
      <c r="I354" s="110"/>
      <c r="J354" s="52"/>
      <c r="K354" s="115"/>
    </row>
    <row r="355" spans="1:11" s="43" customFormat="1" ht="20.25" customHeight="1">
      <c r="A355" s="100" t="s">
        <v>310</v>
      </c>
      <c r="B355" s="45" t="s">
        <v>208</v>
      </c>
      <c r="C355" s="2" t="s">
        <v>54</v>
      </c>
      <c r="D355" s="2" t="s">
        <v>314</v>
      </c>
      <c r="E355" s="91">
        <v>0</v>
      </c>
      <c r="F355" s="36"/>
      <c r="G355" s="91">
        <v>0</v>
      </c>
      <c r="H355" s="36"/>
      <c r="I355" s="110"/>
      <c r="J355" s="52"/>
      <c r="K355" s="115"/>
    </row>
    <row r="356" spans="1:11" s="30" customFormat="1" ht="57" customHeight="1">
      <c r="A356" s="9" t="s">
        <v>209</v>
      </c>
      <c r="B356" s="2" t="s">
        <v>208</v>
      </c>
      <c r="C356" s="2" t="s">
        <v>210</v>
      </c>
      <c r="D356" s="2" t="s">
        <v>157</v>
      </c>
      <c r="E356" s="33">
        <f>E357+E358</f>
        <v>54357.700000000004</v>
      </c>
      <c r="F356" s="33">
        <f>F357+F358</f>
        <v>2770.5</v>
      </c>
      <c r="G356" s="33">
        <f>G357+G358</f>
        <v>19455.699999999997</v>
      </c>
      <c r="H356" s="33">
        <f>H357+H358</f>
        <v>846.6</v>
      </c>
      <c r="I356" s="23"/>
      <c r="K356" s="115"/>
    </row>
    <row r="357" spans="1:11" s="30" customFormat="1" ht="25.5">
      <c r="A357" s="8" t="s">
        <v>197</v>
      </c>
      <c r="B357" s="2" t="s">
        <v>208</v>
      </c>
      <c r="C357" s="2" t="s">
        <v>284</v>
      </c>
      <c r="D357" s="2" t="s">
        <v>157</v>
      </c>
      <c r="E357" s="33">
        <f>E361</f>
        <v>51587.200000000004</v>
      </c>
      <c r="F357" s="36">
        <f>F361</f>
        <v>0</v>
      </c>
      <c r="G357" s="33">
        <f>G361</f>
        <v>18609.1</v>
      </c>
      <c r="H357" s="36">
        <f>H361</f>
        <v>0</v>
      </c>
      <c r="I357" s="23"/>
      <c r="K357" s="115"/>
    </row>
    <row r="358" spans="1:11" s="30" customFormat="1" ht="66" customHeight="1">
      <c r="A358" s="8" t="s">
        <v>324</v>
      </c>
      <c r="B358" s="2" t="s">
        <v>208</v>
      </c>
      <c r="C358" s="2" t="s">
        <v>397</v>
      </c>
      <c r="D358" s="2" t="s">
        <v>157</v>
      </c>
      <c r="E358" s="40">
        <f aca="true" t="shared" si="5" ref="E358:H359">E359</f>
        <v>2770.5</v>
      </c>
      <c r="F358" s="40">
        <f t="shared" si="5"/>
        <v>2770.5</v>
      </c>
      <c r="G358" s="40">
        <f t="shared" si="5"/>
        <v>846.6</v>
      </c>
      <c r="H358" s="40">
        <f t="shared" si="5"/>
        <v>846.6</v>
      </c>
      <c r="I358" s="23"/>
      <c r="K358" s="115"/>
    </row>
    <row r="359" spans="1:11" s="30" customFormat="1" ht="34.5" customHeight="1">
      <c r="A359" s="8" t="s">
        <v>398</v>
      </c>
      <c r="B359" s="2" t="s">
        <v>208</v>
      </c>
      <c r="C359" s="2" t="s">
        <v>397</v>
      </c>
      <c r="D359" s="2" t="s">
        <v>157</v>
      </c>
      <c r="E359" s="40">
        <f t="shared" si="5"/>
        <v>2770.5</v>
      </c>
      <c r="F359" s="40">
        <f t="shared" si="5"/>
        <v>2770.5</v>
      </c>
      <c r="G359" s="40">
        <f t="shared" si="5"/>
        <v>846.6</v>
      </c>
      <c r="H359" s="40">
        <f t="shared" si="5"/>
        <v>846.6</v>
      </c>
      <c r="I359" s="23"/>
      <c r="K359" s="115"/>
    </row>
    <row r="360" spans="1:11" s="30" customFormat="1" ht="19.5" customHeight="1">
      <c r="A360" s="25" t="s">
        <v>224</v>
      </c>
      <c r="B360" s="2" t="s">
        <v>208</v>
      </c>
      <c r="C360" s="2" t="s">
        <v>397</v>
      </c>
      <c r="D360" s="2" t="s">
        <v>308</v>
      </c>
      <c r="E360" s="40">
        <f>2384+386.5</f>
        <v>2770.5</v>
      </c>
      <c r="F360" s="40">
        <f>2384+386.5</f>
        <v>2770.5</v>
      </c>
      <c r="G360" s="40">
        <v>846.6</v>
      </c>
      <c r="H360" s="40">
        <v>846.6</v>
      </c>
      <c r="I360" s="23"/>
      <c r="K360" s="115"/>
    </row>
    <row r="361" spans="1:11" s="30" customFormat="1" ht="67.5" customHeight="1">
      <c r="A361" s="8" t="s">
        <v>94</v>
      </c>
      <c r="B361" s="5" t="s">
        <v>208</v>
      </c>
      <c r="C361" s="5" t="s">
        <v>59</v>
      </c>
      <c r="D361" s="5" t="s">
        <v>157</v>
      </c>
      <c r="E361" s="40">
        <f>E366+E362+E363+E364+E365+E368+E369+E367</f>
        <v>51587.200000000004</v>
      </c>
      <c r="F361" s="38">
        <f>F366</f>
        <v>0</v>
      </c>
      <c r="G361" s="40">
        <f>G366+G362+G363+G364+G365+G368+G369+G367</f>
        <v>18609.1</v>
      </c>
      <c r="H361" s="38">
        <f>H366</f>
        <v>0</v>
      </c>
      <c r="I361" s="23"/>
      <c r="K361" s="115"/>
    </row>
    <row r="362" spans="1:11" s="30" customFormat="1" ht="19.5" customHeight="1">
      <c r="A362" s="25" t="s">
        <v>224</v>
      </c>
      <c r="B362" s="5" t="s">
        <v>208</v>
      </c>
      <c r="C362" s="5" t="s">
        <v>59</v>
      </c>
      <c r="D362" s="50" t="s">
        <v>308</v>
      </c>
      <c r="E362" s="40">
        <f>20633.9+148.9</f>
        <v>20782.800000000003</v>
      </c>
      <c r="F362" s="38"/>
      <c r="G362" s="40">
        <v>9084.9</v>
      </c>
      <c r="H362" s="38"/>
      <c r="I362" s="23"/>
      <c r="K362" s="115"/>
    </row>
    <row r="363" spans="1:11" s="30" customFormat="1" ht="28.5" customHeight="1">
      <c r="A363" s="100" t="s">
        <v>125</v>
      </c>
      <c r="B363" s="5" t="s">
        <v>208</v>
      </c>
      <c r="C363" s="5" t="s">
        <v>59</v>
      </c>
      <c r="D363" s="50" t="s">
        <v>354</v>
      </c>
      <c r="E363" s="40">
        <v>0</v>
      </c>
      <c r="F363" s="38"/>
      <c r="G363" s="40">
        <v>0</v>
      </c>
      <c r="H363" s="38"/>
      <c r="I363" s="23"/>
      <c r="K363" s="115"/>
    </row>
    <row r="364" spans="1:11" s="30" customFormat="1" ht="30.75" customHeight="1">
      <c r="A364" s="10" t="s">
        <v>127</v>
      </c>
      <c r="B364" s="5" t="s">
        <v>208</v>
      </c>
      <c r="C364" s="5" t="s">
        <v>59</v>
      </c>
      <c r="D364" s="50" t="s">
        <v>126</v>
      </c>
      <c r="E364" s="40">
        <f>189.7+1500+10</f>
        <v>1699.7</v>
      </c>
      <c r="F364" s="38"/>
      <c r="G364" s="40">
        <v>917</v>
      </c>
      <c r="H364" s="38"/>
      <c r="I364" s="23"/>
      <c r="K364" s="115"/>
    </row>
    <row r="365" spans="1:11" s="30" customFormat="1" ht="28.5" customHeight="1">
      <c r="A365" s="13" t="s">
        <v>24</v>
      </c>
      <c r="B365" s="5" t="s">
        <v>208</v>
      </c>
      <c r="C365" s="5" t="s">
        <v>59</v>
      </c>
      <c r="D365" s="50" t="s">
        <v>23</v>
      </c>
      <c r="E365" s="40">
        <f>268.4+20+200+4+250+150+762.5</f>
        <v>1654.9</v>
      </c>
      <c r="F365" s="38"/>
      <c r="G365" s="40">
        <v>1074.8</v>
      </c>
      <c r="H365" s="38"/>
      <c r="I365" s="23"/>
      <c r="K365" s="115"/>
    </row>
    <row r="366" spans="1:11" s="30" customFormat="1" ht="42" customHeight="1">
      <c r="A366" s="17" t="s">
        <v>250</v>
      </c>
      <c r="B366" s="5" t="s">
        <v>208</v>
      </c>
      <c r="C366" s="5" t="s">
        <v>59</v>
      </c>
      <c r="D366" s="5" t="s">
        <v>249</v>
      </c>
      <c r="E366" s="40">
        <f>9391.6</f>
        <v>9391.6</v>
      </c>
      <c r="F366" s="38"/>
      <c r="G366" s="40">
        <v>3766.4</v>
      </c>
      <c r="H366" s="38"/>
      <c r="I366" s="23"/>
      <c r="K366" s="115"/>
    </row>
    <row r="367" spans="1:11" s="30" customFormat="1" ht="20.25" customHeight="1">
      <c r="A367" s="93" t="s">
        <v>147</v>
      </c>
      <c r="B367" s="5" t="s">
        <v>208</v>
      </c>
      <c r="C367" s="5" t="s">
        <v>59</v>
      </c>
      <c r="D367" s="5" t="s">
        <v>146</v>
      </c>
      <c r="E367" s="40">
        <f>5000+10760.7+300-3081.2-63.9-124-97.1-148.1</f>
        <v>12546.4</v>
      </c>
      <c r="F367" s="38"/>
      <c r="G367" s="40">
        <v>0</v>
      </c>
      <c r="H367" s="38"/>
      <c r="I367" s="23"/>
      <c r="K367" s="115"/>
    </row>
    <row r="368" spans="1:11" s="30" customFormat="1" ht="27.75" customHeight="1">
      <c r="A368" s="47" t="s">
        <v>309</v>
      </c>
      <c r="B368" s="45" t="s">
        <v>208</v>
      </c>
      <c r="C368" s="5" t="s">
        <v>59</v>
      </c>
      <c r="D368" s="2" t="s">
        <v>313</v>
      </c>
      <c r="E368" s="40">
        <f>1+1722.5+3752.2+17.2+18.9</f>
        <v>5511.799999999999</v>
      </c>
      <c r="F368" s="38"/>
      <c r="G368" s="40">
        <v>3766</v>
      </c>
      <c r="H368" s="38"/>
      <c r="I368" s="23"/>
      <c r="K368" s="115"/>
    </row>
    <row r="369" spans="1:11" s="30" customFormat="1" ht="19.5" customHeight="1">
      <c r="A369" s="100" t="s">
        <v>310</v>
      </c>
      <c r="B369" s="45" t="s">
        <v>208</v>
      </c>
      <c r="C369" s="5" t="s">
        <v>59</v>
      </c>
      <c r="D369" s="2" t="s">
        <v>314</v>
      </c>
      <c r="E369" s="40">
        <v>0</v>
      </c>
      <c r="F369" s="38"/>
      <c r="G369" s="40"/>
      <c r="H369" s="38"/>
      <c r="I369" s="23"/>
      <c r="K369" s="115"/>
    </row>
    <row r="370" spans="1:11" s="30" customFormat="1" ht="19.5" customHeight="1">
      <c r="A370" s="28" t="s">
        <v>122</v>
      </c>
      <c r="B370" s="45" t="s">
        <v>208</v>
      </c>
      <c r="C370" s="3">
        <v>5220000</v>
      </c>
      <c r="D370" s="1" t="s">
        <v>157</v>
      </c>
      <c r="E370" s="40">
        <f>E371</f>
        <v>305.4</v>
      </c>
      <c r="F370" s="38"/>
      <c r="G370" s="40">
        <f>G371</f>
        <v>42</v>
      </c>
      <c r="H370" s="38"/>
      <c r="I370" s="23"/>
      <c r="K370" s="115"/>
    </row>
    <row r="371" spans="1:11" s="30" customFormat="1" ht="68.25" customHeight="1">
      <c r="A371" s="28" t="s">
        <v>466</v>
      </c>
      <c r="B371" s="45" t="s">
        <v>208</v>
      </c>
      <c r="C371" s="5" t="s">
        <v>467</v>
      </c>
      <c r="D371" s="5" t="s">
        <v>157</v>
      </c>
      <c r="E371" s="40">
        <f>E372</f>
        <v>305.4</v>
      </c>
      <c r="F371" s="38"/>
      <c r="G371" s="40">
        <f>G372</f>
        <v>42</v>
      </c>
      <c r="H371" s="38"/>
      <c r="I371" s="23"/>
      <c r="K371" s="115"/>
    </row>
    <row r="372" spans="1:11" s="30" customFormat="1" ht="44.25" customHeight="1">
      <c r="A372" s="17" t="s">
        <v>250</v>
      </c>
      <c r="B372" s="45" t="s">
        <v>208</v>
      </c>
      <c r="C372" s="5" t="s">
        <v>467</v>
      </c>
      <c r="D372" s="5" t="s">
        <v>249</v>
      </c>
      <c r="E372" s="40">
        <f>305.4</f>
        <v>305.4</v>
      </c>
      <c r="F372" s="38"/>
      <c r="G372" s="40">
        <v>42</v>
      </c>
      <c r="H372" s="38"/>
      <c r="I372" s="23"/>
      <c r="K372" s="115"/>
    </row>
    <row r="373" spans="1:11" s="30" customFormat="1" ht="22.5" customHeight="1">
      <c r="A373" s="15" t="s">
        <v>35</v>
      </c>
      <c r="B373" s="5" t="s">
        <v>208</v>
      </c>
      <c r="C373" s="5" t="s">
        <v>36</v>
      </c>
      <c r="D373" s="5" t="s">
        <v>157</v>
      </c>
      <c r="E373" s="40">
        <f>E374</f>
        <v>2531.4</v>
      </c>
      <c r="F373" s="38"/>
      <c r="G373" s="40">
        <f>G374</f>
        <v>523.9</v>
      </c>
      <c r="H373" s="38"/>
      <c r="I373" s="23"/>
      <c r="K373" s="115"/>
    </row>
    <row r="374" spans="1:11" s="30" customFormat="1" ht="53.25" customHeight="1">
      <c r="A374" s="46" t="s">
        <v>345</v>
      </c>
      <c r="B374" s="50" t="s">
        <v>208</v>
      </c>
      <c r="C374" s="50" t="s">
        <v>76</v>
      </c>
      <c r="D374" s="50" t="s">
        <v>157</v>
      </c>
      <c r="E374" s="98">
        <f>E376+E377+E375</f>
        <v>2531.4</v>
      </c>
      <c r="F374" s="51"/>
      <c r="G374" s="98">
        <f>G376+G377+G375</f>
        <v>523.9</v>
      </c>
      <c r="H374" s="51"/>
      <c r="I374" s="23"/>
      <c r="K374" s="115"/>
    </row>
    <row r="375" spans="1:11" s="30" customFormat="1" ht="28.5" customHeight="1">
      <c r="A375" s="13" t="s">
        <v>24</v>
      </c>
      <c r="B375" s="5" t="s">
        <v>208</v>
      </c>
      <c r="C375" s="50" t="s">
        <v>76</v>
      </c>
      <c r="D375" s="50" t="s">
        <v>23</v>
      </c>
      <c r="E375" s="98">
        <f>160.1+263.9</f>
        <v>424</v>
      </c>
      <c r="F375" s="51"/>
      <c r="G375" s="98">
        <v>424</v>
      </c>
      <c r="H375" s="51"/>
      <c r="I375" s="23"/>
      <c r="K375" s="115"/>
    </row>
    <row r="376" spans="1:11" s="30" customFormat="1" ht="44.25" customHeight="1">
      <c r="A376" s="17" t="s">
        <v>250</v>
      </c>
      <c r="B376" s="5" t="s">
        <v>208</v>
      </c>
      <c r="C376" s="50" t="s">
        <v>76</v>
      </c>
      <c r="D376" s="5" t="s">
        <v>249</v>
      </c>
      <c r="E376" s="40">
        <f>0</f>
        <v>0</v>
      </c>
      <c r="F376" s="38"/>
      <c r="G376" s="40">
        <v>0</v>
      </c>
      <c r="H376" s="38"/>
      <c r="I376" s="23"/>
      <c r="K376" s="115"/>
    </row>
    <row r="377" spans="1:11" s="30" customFormat="1" ht="22.5" customHeight="1">
      <c r="A377" s="93" t="s">
        <v>147</v>
      </c>
      <c r="B377" s="5" t="s">
        <v>208</v>
      </c>
      <c r="C377" s="50" t="s">
        <v>76</v>
      </c>
      <c r="D377" s="5" t="s">
        <v>146</v>
      </c>
      <c r="E377" s="40">
        <f>1941+600-160.1-9.6-263.9</f>
        <v>2107.4</v>
      </c>
      <c r="F377" s="38"/>
      <c r="G377" s="40">
        <v>99.9</v>
      </c>
      <c r="H377" s="38"/>
      <c r="I377" s="23"/>
      <c r="K377" s="115"/>
    </row>
    <row r="378" spans="1:11" s="30" customFormat="1" ht="17.25" customHeight="1">
      <c r="A378" s="65" t="s">
        <v>111</v>
      </c>
      <c r="B378" s="66" t="s">
        <v>211</v>
      </c>
      <c r="C378" s="66" t="s">
        <v>183</v>
      </c>
      <c r="D378" s="66" t="s">
        <v>157</v>
      </c>
      <c r="E378" s="67">
        <f>E402+E379</f>
        <v>90017.5</v>
      </c>
      <c r="F378" s="67">
        <f>F402+F379</f>
        <v>0</v>
      </c>
      <c r="G378" s="67">
        <f>G402+G379</f>
        <v>41852</v>
      </c>
      <c r="H378" s="67">
        <f>H402+H379</f>
        <v>0</v>
      </c>
      <c r="I378" s="88">
        <f>G378/E378*100</f>
        <v>46.49318188130086</v>
      </c>
      <c r="K378" s="115"/>
    </row>
    <row r="379" spans="1:11" s="30" customFormat="1" ht="18" customHeight="1">
      <c r="A379" s="14" t="s">
        <v>212</v>
      </c>
      <c r="B379" s="5" t="s">
        <v>213</v>
      </c>
      <c r="C379" s="5" t="s">
        <v>183</v>
      </c>
      <c r="D379" s="5" t="s">
        <v>157</v>
      </c>
      <c r="E379" s="40">
        <f>E389+E383+E397+E394+E380</f>
        <v>68172.9</v>
      </c>
      <c r="F379" s="40"/>
      <c r="G379" s="40">
        <f>G389+G383+G397+G394+G380</f>
        <v>31556.899999999998</v>
      </c>
      <c r="H379" s="40"/>
      <c r="I379" s="23"/>
      <c r="K379" s="115"/>
    </row>
    <row r="380" spans="1:11" s="30" customFormat="1" ht="41.25" customHeight="1">
      <c r="A380" s="100" t="s">
        <v>479</v>
      </c>
      <c r="B380" s="49" t="s">
        <v>213</v>
      </c>
      <c r="C380" s="114" t="s">
        <v>500</v>
      </c>
      <c r="D380" s="50" t="s">
        <v>157</v>
      </c>
      <c r="E380" s="99">
        <f>E382+E381</f>
        <v>350</v>
      </c>
      <c r="F380" s="54"/>
      <c r="G380" s="40">
        <f>G381+G382</f>
        <v>200</v>
      </c>
      <c r="H380" s="40"/>
      <c r="I380" s="23"/>
      <c r="K380" s="115"/>
    </row>
    <row r="381" spans="1:11" s="30" customFormat="1" ht="30" customHeight="1">
      <c r="A381" s="102" t="s">
        <v>24</v>
      </c>
      <c r="B381" s="49" t="s">
        <v>213</v>
      </c>
      <c r="C381" s="114" t="s">
        <v>500</v>
      </c>
      <c r="D381" s="50" t="s">
        <v>23</v>
      </c>
      <c r="E381" s="99">
        <f>150</f>
        <v>150</v>
      </c>
      <c r="F381" s="54"/>
      <c r="G381" s="40">
        <v>0</v>
      </c>
      <c r="H381" s="40"/>
      <c r="I381" s="23"/>
      <c r="K381" s="115"/>
    </row>
    <row r="382" spans="1:11" s="30" customFormat="1" ht="21" customHeight="1">
      <c r="A382" s="108" t="s">
        <v>147</v>
      </c>
      <c r="B382" s="49" t="s">
        <v>213</v>
      </c>
      <c r="C382" s="114" t="s">
        <v>500</v>
      </c>
      <c r="D382" s="50" t="s">
        <v>146</v>
      </c>
      <c r="E382" s="99">
        <f>200</f>
        <v>200</v>
      </c>
      <c r="F382" s="54"/>
      <c r="G382" s="40">
        <v>200</v>
      </c>
      <c r="H382" s="40"/>
      <c r="I382" s="23"/>
      <c r="K382" s="115"/>
    </row>
    <row r="383" spans="1:11" s="30" customFormat="1" ht="30.75" customHeight="1">
      <c r="A383" s="13" t="s">
        <v>8</v>
      </c>
      <c r="B383" s="2" t="s">
        <v>213</v>
      </c>
      <c r="C383" s="2" t="s">
        <v>214</v>
      </c>
      <c r="D383" s="2" t="s">
        <v>157</v>
      </c>
      <c r="E383" s="33">
        <f>E384+E387</f>
        <v>38007.2</v>
      </c>
      <c r="F383" s="33"/>
      <c r="G383" s="33">
        <f>G384+G387</f>
        <v>20367.2</v>
      </c>
      <c r="H383" s="33"/>
      <c r="I383" s="23"/>
      <c r="K383" s="115"/>
    </row>
    <row r="384" spans="1:11" s="30" customFormat="1" ht="30" customHeight="1">
      <c r="A384" s="8" t="s">
        <v>197</v>
      </c>
      <c r="B384" s="4" t="s">
        <v>213</v>
      </c>
      <c r="C384" s="4" t="s">
        <v>281</v>
      </c>
      <c r="D384" s="4" t="s">
        <v>157</v>
      </c>
      <c r="E384" s="89">
        <f>E385</f>
        <v>37807.2</v>
      </c>
      <c r="F384" s="39"/>
      <c r="G384" s="89">
        <f>G385</f>
        <v>20355.3</v>
      </c>
      <c r="H384" s="39"/>
      <c r="I384" s="23"/>
      <c r="K384" s="115"/>
    </row>
    <row r="385" spans="1:11" s="30" customFormat="1" ht="31.5" customHeight="1">
      <c r="A385" s="8" t="s">
        <v>12</v>
      </c>
      <c r="B385" s="4" t="s">
        <v>213</v>
      </c>
      <c r="C385" s="56" t="s">
        <v>115</v>
      </c>
      <c r="D385" s="4" t="s">
        <v>157</v>
      </c>
      <c r="E385" s="89">
        <f>E386</f>
        <v>37807.2</v>
      </c>
      <c r="F385" s="39"/>
      <c r="G385" s="89">
        <f>G386</f>
        <v>20355.3</v>
      </c>
      <c r="H385" s="39"/>
      <c r="I385" s="23"/>
      <c r="K385" s="115"/>
    </row>
    <row r="386" spans="1:11" s="30" customFormat="1" ht="41.25" customHeight="1">
      <c r="A386" s="17" t="s">
        <v>250</v>
      </c>
      <c r="B386" s="4" t="s">
        <v>213</v>
      </c>
      <c r="C386" s="56" t="s">
        <v>115</v>
      </c>
      <c r="D386" s="4" t="s">
        <v>249</v>
      </c>
      <c r="E386" s="89">
        <f>37707.2-1200+1200+100</f>
        <v>37807.2</v>
      </c>
      <c r="F386" s="39"/>
      <c r="G386" s="89">
        <v>20355.3</v>
      </c>
      <c r="H386" s="39"/>
      <c r="I386" s="23"/>
      <c r="K386" s="115"/>
    </row>
    <row r="387" spans="1:11" s="30" customFormat="1" ht="17.25" customHeight="1">
      <c r="A387" s="8" t="s">
        <v>13</v>
      </c>
      <c r="B387" s="4" t="s">
        <v>213</v>
      </c>
      <c r="C387" s="56" t="s">
        <v>14</v>
      </c>
      <c r="D387" s="4" t="s">
        <v>157</v>
      </c>
      <c r="E387" s="39">
        <f>E388</f>
        <v>200</v>
      </c>
      <c r="F387" s="39"/>
      <c r="G387" s="39">
        <f>G388</f>
        <v>11.9</v>
      </c>
      <c r="H387" s="39"/>
      <c r="I387" s="23"/>
      <c r="K387" s="115"/>
    </row>
    <row r="388" spans="1:11" s="30" customFormat="1" ht="29.25" customHeight="1">
      <c r="A388" s="13" t="s">
        <v>24</v>
      </c>
      <c r="B388" s="4" t="s">
        <v>213</v>
      </c>
      <c r="C388" s="56" t="s">
        <v>14</v>
      </c>
      <c r="D388" s="4" t="s">
        <v>23</v>
      </c>
      <c r="E388" s="39">
        <f>200</f>
        <v>200</v>
      </c>
      <c r="F388" s="39"/>
      <c r="G388" s="39">
        <v>11.9</v>
      </c>
      <c r="H388" s="39"/>
      <c r="I388" s="23"/>
      <c r="K388" s="115"/>
    </row>
    <row r="389" spans="1:11" s="30" customFormat="1" ht="17.25" customHeight="1">
      <c r="A389" s="8" t="s">
        <v>172</v>
      </c>
      <c r="B389" s="1" t="s">
        <v>213</v>
      </c>
      <c r="C389" s="1" t="s">
        <v>215</v>
      </c>
      <c r="D389" s="1" t="s">
        <v>157</v>
      </c>
      <c r="E389" s="33">
        <f>E390</f>
        <v>18334</v>
      </c>
      <c r="F389" s="36"/>
      <c r="G389" s="33">
        <f>G390</f>
        <v>7898.4</v>
      </c>
      <c r="H389" s="36"/>
      <c r="I389" s="23"/>
      <c r="K389" s="115"/>
    </row>
    <row r="390" spans="1:11" s="30" customFormat="1" ht="29.25" customHeight="1">
      <c r="A390" s="8" t="s">
        <v>197</v>
      </c>
      <c r="B390" s="6" t="s">
        <v>213</v>
      </c>
      <c r="C390" s="6" t="s">
        <v>282</v>
      </c>
      <c r="D390" s="6" t="s">
        <v>157</v>
      </c>
      <c r="E390" s="40">
        <f>E391</f>
        <v>18334</v>
      </c>
      <c r="F390" s="38"/>
      <c r="G390" s="40">
        <f>G391</f>
        <v>7898.4</v>
      </c>
      <c r="H390" s="38"/>
      <c r="I390" s="23"/>
      <c r="K390" s="115"/>
    </row>
    <row r="391" spans="1:11" s="30" customFormat="1" ht="19.5" customHeight="1">
      <c r="A391" s="8" t="s">
        <v>283</v>
      </c>
      <c r="B391" s="6" t="s">
        <v>213</v>
      </c>
      <c r="C391" s="49" t="s">
        <v>114</v>
      </c>
      <c r="D391" s="6" t="s">
        <v>157</v>
      </c>
      <c r="E391" s="40">
        <f>E393</f>
        <v>18334</v>
      </c>
      <c r="F391" s="38"/>
      <c r="G391" s="40">
        <f>G393</f>
        <v>7898.4</v>
      </c>
      <c r="H391" s="38"/>
      <c r="I391" s="23"/>
      <c r="K391" s="115"/>
    </row>
    <row r="392" spans="1:11" s="30" customFormat="1" ht="25.5" customHeight="1" hidden="1">
      <c r="A392" s="8" t="s">
        <v>272</v>
      </c>
      <c r="B392" s="6" t="s">
        <v>213</v>
      </c>
      <c r="C392" s="49" t="s">
        <v>129</v>
      </c>
      <c r="D392" s="6" t="s">
        <v>271</v>
      </c>
      <c r="E392" s="40"/>
      <c r="F392" s="38"/>
      <c r="G392" s="40"/>
      <c r="H392" s="38"/>
      <c r="I392" s="23"/>
      <c r="K392" s="115"/>
    </row>
    <row r="393" spans="1:11" s="30" customFormat="1" ht="42.75" customHeight="1">
      <c r="A393" s="17" t="s">
        <v>250</v>
      </c>
      <c r="B393" s="6" t="s">
        <v>213</v>
      </c>
      <c r="C393" s="49" t="s">
        <v>114</v>
      </c>
      <c r="D393" s="6" t="s">
        <v>249</v>
      </c>
      <c r="E393" s="40">
        <f>18684-350</f>
        <v>18334</v>
      </c>
      <c r="F393" s="38"/>
      <c r="G393" s="40">
        <v>7898.4</v>
      </c>
      <c r="H393" s="38"/>
      <c r="I393" s="23"/>
      <c r="K393" s="115"/>
    </row>
    <row r="394" spans="1:11" s="30" customFormat="1" ht="15.75" customHeight="1">
      <c r="A394" s="28" t="s">
        <v>122</v>
      </c>
      <c r="B394" s="1" t="s">
        <v>213</v>
      </c>
      <c r="C394" s="3">
        <v>5220000</v>
      </c>
      <c r="D394" s="1" t="s">
        <v>157</v>
      </c>
      <c r="E394" s="40">
        <f>E395</f>
        <v>2481.7</v>
      </c>
      <c r="F394" s="38"/>
      <c r="G394" s="40">
        <f>G395</f>
        <v>0</v>
      </c>
      <c r="H394" s="38"/>
      <c r="I394" s="23"/>
      <c r="K394" s="115"/>
    </row>
    <row r="395" spans="1:11" s="30" customFormat="1" ht="65.25" customHeight="1">
      <c r="A395" s="28" t="s">
        <v>466</v>
      </c>
      <c r="B395" s="6" t="s">
        <v>213</v>
      </c>
      <c r="C395" s="49" t="s">
        <v>467</v>
      </c>
      <c r="D395" s="6" t="s">
        <v>157</v>
      </c>
      <c r="E395" s="40">
        <f>E396</f>
        <v>2481.7</v>
      </c>
      <c r="F395" s="38"/>
      <c r="G395" s="40">
        <f>G396</f>
        <v>0</v>
      </c>
      <c r="H395" s="38"/>
      <c r="I395" s="23"/>
      <c r="K395" s="115"/>
    </row>
    <row r="396" spans="1:11" s="30" customFormat="1" ht="42.75" customHeight="1">
      <c r="A396" s="17" t="s">
        <v>250</v>
      </c>
      <c r="B396" s="6" t="s">
        <v>213</v>
      </c>
      <c r="C396" s="49" t="s">
        <v>467</v>
      </c>
      <c r="D396" s="6" t="s">
        <v>249</v>
      </c>
      <c r="E396" s="40">
        <f>2481.7</f>
        <v>2481.7</v>
      </c>
      <c r="F396" s="38"/>
      <c r="G396" s="40">
        <v>0</v>
      </c>
      <c r="H396" s="38"/>
      <c r="I396" s="23"/>
      <c r="K396" s="115"/>
    </row>
    <row r="397" spans="1:11" s="30" customFormat="1" ht="19.5" customHeight="1">
      <c r="A397" s="8" t="s">
        <v>35</v>
      </c>
      <c r="B397" s="5" t="s">
        <v>213</v>
      </c>
      <c r="C397" s="5" t="s">
        <v>36</v>
      </c>
      <c r="D397" s="6" t="s">
        <v>157</v>
      </c>
      <c r="E397" s="90">
        <f>E398</f>
        <v>9000</v>
      </c>
      <c r="F397" s="35"/>
      <c r="G397" s="90">
        <f>G398</f>
        <v>3091.3</v>
      </c>
      <c r="H397" s="35"/>
      <c r="I397" s="23"/>
      <c r="K397" s="115"/>
    </row>
    <row r="398" spans="1:11" s="30" customFormat="1" ht="42.75" customHeight="1">
      <c r="A398" s="46" t="s">
        <v>330</v>
      </c>
      <c r="B398" s="5" t="s">
        <v>213</v>
      </c>
      <c r="C398" s="5" t="s">
        <v>73</v>
      </c>
      <c r="D398" s="6" t="s">
        <v>157</v>
      </c>
      <c r="E398" s="90">
        <f>E400+E401+E399</f>
        <v>9000</v>
      </c>
      <c r="F398" s="35"/>
      <c r="G398" s="90">
        <f>G400+G401+G399</f>
        <v>3091.3</v>
      </c>
      <c r="H398" s="35"/>
      <c r="I398" s="23"/>
      <c r="K398" s="115"/>
    </row>
    <row r="399" spans="1:11" s="30" customFormat="1" ht="29.25" customHeight="1">
      <c r="A399" s="13" t="s">
        <v>24</v>
      </c>
      <c r="B399" s="5" t="s">
        <v>213</v>
      </c>
      <c r="C399" s="5" t="s">
        <v>73</v>
      </c>
      <c r="D399" s="6" t="s">
        <v>23</v>
      </c>
      <c r="E399" s="90">
        <f>1830+50-100-100-950</f>
        <v>730</v>
      </c>
      <c r="F399" s="35"/>
      <c r="G399" s="90">
        <v>404.8</v>
      </c>
      <c r="H399" s="35"/>
      <c r="I399" s="23"/>
      <c r="K399" s="115"/>
    </row>
    <row r="400" spans="1:11" s="30" customFormat="1" ht="42.75" customHeight="1">
      <c r="A400" s="17" t="s">
        <v>250</v>
      </c>
      <c r="B400" s="5" t="s">
        <v>213</v>
      </c>
      <c r="C400" s="5" t="s">
        <v>73</v>
      </c>
      <c r="D400" s="6" t="s">
        <v>249</v>
      </c>
      <c r="E400" s="90">
        <f>2170-50+100+100+950</f>
        <v>3270</v>
      </c>
      <c r="F400" s="35"/>
      <c r="G400" s="90">
        <v>2686.5</v>
      </c>
      <c r="H400" s="35"/>
      <c r="I400" s="23"/>
      <c r="K400" s="115"/>
    </row>
    <row r="401" spans="1:11" s="30" customFormat="1" ht="17.25" customHeight="1">
      <c r="A401" s="93" t="s">
        <v>147</v>
      </c>
      <c r="B401" s="5" t="s">
        <v>213</v>
      </c>
      <c r="C401" s="5" t="s">
        <v>73</v>
      </c>
      <c r="D401" s="6" t="s">
        <v>146</v>
      </c>
      <c r="E401" s="90">
        <f>4000+5000-4000</f>
        <v>5000</v>
      </c>
      <c r="F401" s="35"/>
      <c r="G401" s="90">
        <v>0</v>
      </c>
      <c r="H401" s="35"/>
      <c r="I401" s="23"/>
      <c r="K401" s="115"/>
    </row>
    <row r="402" spans="1:11" s="30" customFormat="1" ht="25.5">
      <c r="A402" s="14" t="s">
        <v>2</v>
      </c>
      <c r="B402" s="6" t="s">
        <v>7</v>
      </c>
      <c r="C402" s="6" t="s">
        <v>183</v>
      </c>
      <c r="D402" s="6" t="s">
        <v>157</v>
      </c>
      <c r="E402" s="40">
        <f>E415+E403+E424</f>
        <v>21844.6</v>
      </c>
      <c r="F402" s="38"/>
      <c r="G402" s="40">
        <f>G415+G403+G424</f>
        <v>10295.1</v>
      </c>
      <c r="H402" s="38"/>
      <c r="I402" s="23"/>
      <c r="K402" s="115"/>
    </row>
    <row r="403" spans="1:11" s="30" customFormat="1" ht="18.75" customHeight="1">
      <c r="A403" s="8" t="s">
        <v>196</v>
      </c>
      <c r="B403" s="6" t="s">
        <v>7</v>
      </c>
      <c r="C403" s="2" t="s">
        <v>264</v>
      </c>
      <c r="D403" s="2" t="s">
        <v>157</v>
      </c>
      <c r="E403" s="40">
        <f>E404+E407+E410</f>
        <v>10420.6</v>
      </c>
      <c r="F403" s="38"/>
      <c r="G403" s="40">
        <f>G404+G407+G410</f>
        <v>3888.5</v>
      </c>
      <c r="H403" s="38"/>
      <c r="I403" s="23"/>
      <c r="K403" s="115"/>
    </row>
    <row r="404" spans="1:11" s="30" customFormat="1" ht="21.75" customHeight="1">
      <c r="A404" s="47" t="s">
        <v>334</v>
      </c>
      <c r="B404" s="6" t="s">
        <v>7</v>
      </c>
      <c r="C404" s="2" t="s">
        <v>3</v>
      </c>
      <c r="D404" s="2" t="s">
        <v>157</v>
      </c>
      <c r="E404" s="40">
        <f>E405+E406</f>
        <v>1727.2</v>
      </c>
      <c r="F404" s="38"/>
      <c r="G404" s="40">
        <f>G405+G406</f>
        <v>433.4</v>
      </c>
      <c r="H404" s="38"/>
      <c r="I404" s="23"/>
      <c r="K404" s="115"/>
    </row>
    <row r="405" spans="1:11" s="30" customFormat="1" ht="18" customHeight="1">
      <c r="A405" s="25" t="s">
        <v>224</v>
      </c>
      <c r="B405" s="6" t="s">
        <v>7</v>
      </c>
      <c r="C405" s="2" t="s">
        <v>3</v>
      </c>
      <c r="D405" s="2" t="s">
        <v>222</v>
      </c>
      <c r="E405" s="40">
        <f>424.1-118.1+1185</f>
        <v>1491</v>
      </c>
      <c r="F405" s="38"/>
      <c r="G405" s="40">
        <v>433.4</v>
      </c>
      <c r="H405" s="38"/>
      <c r="I405" s="23"/>
      <c r="K405" s="115"/>
    </row>
    <row r="406" spans="1:11" s="30" customFormat="1" ht="27.75" customHeight="1">
      <c r="A406" s="100" t="s">
        <v>125</v>
      </c>
      <c r="B406" s="6" t="s">
        <v>7</v>
      </c>
      <c r="C406" s="2" t="s">
        <v>3</v>
      </c>
      <c r="D406" s="2" t="s">
        <v>223</v>
      </c>
      <c r="E406" s="40">
        <f>118+0.1+118.1</f>
        <v>236.2</v>
      </c>
      <c r="F406" s="38"/>
      <c r="G406" s="40">
        <v>0</v>
      </c>
      <c r="H406" s="38"/>
      <c r="I406" s="23"/>
      <c r="K406" s="115"/>
    </row>
    <row r="407" spans="1:11" s="30" customFormat="1" ht="28.5" customHeight="1">
      <c r="A407" s="47" t="s">
        <v>335</v>
      </c>
      <c r="B407" s="6" t="s">
        <v>7</v>
      </c>
      <c r="C407" s="2" t="s">
        <v>6</v>
      </c>
      <c r="D407" s="2" t="s">
        <v>157</v>
      </c>
      <c r="E407" s="40">
        <f>E408+E409</f>
        <v>8113.400000000001</v>
      </c>
      <c r="F407" s="38"/>
      <c r="G407" s="40">
        <f>G408+G409</f>
        <v>3276.2</v>
      </c>
      <c r="H407" s="38"/>
      <c r="I407" s="23"/>
      <c r="K407" s="115"/>
    </row>
    <row r="408" spans="1:11" s="30" customFormat="1" ht="20.25" customHeight="1">
      <c r="A408" s="25" t="s">
        <v>224</v>
      </c>
      <c r="B408" s="6" t="s">
        <v>7</v>
      </c>
      <c r="C408" s="2" t="s">
        <v>6</v>
      </c>
      <c r="D408" s="2" t="s">
        <v>222</v>
      </c>
      <c r="E408" s="40">
        <f>7877.6-1185</f>
        <v>6692.6</v>
      </c>
      <c r="F408" s="38"/>
      <c r="G408" s="40">
        <v>2827.5</v>
      </c>
      <c r="H408" s="38"/>
      <c r="I408" s="23"/>
      <c r="K408" s="115"/>
    </row>
    <row r="409" spans="1:11" s="30" customFormat="1" ht="29.25" customHeight="1">
      <c r="A409" s="100" t="s">
        <v>125</v>
      </c>
      <c r="B409" s="6" t="s">
        <v>7</v>
      </c>
      <c r="C409" s="2" t="s">
        <v>6</v>
      </c>
      <c r="D409" s="2" t="s">
        <v>223</v>
      </c>
      <c r="E409" s="40">
        <f>1420.8</f>
        <v>1420.8</v>
      </c>
      <c r="F409" s="38"/>
      <c r="G409" s="40">
        <v>448.7</v>
      </c>
      <c r="H409" s="38"/>
      <c r="I409" s="23"/>
      <c r="K409" s="115"/>
    </row>
    <row r="410" spans="1:11" s="30" customFormat="1" ht="25.5">
      <c r="A410" s="47" t="s">
        <v>100</v>
      </c>
      <c r="B410" s="6" t="s">
        <v>7</v>
      </c>
      <c r="C410" s="2" t="s">
        <v>54</v>
      </c>
      <c r="D410" s="2" t="s">
        <v>157</v>
      </c>
      <c r="E410" s="40">
        <f>E412+E411+E413</f>
        <v>580</v>
      </c>
      <c r="F410" s="38"/>
      <c r="G410" s="40">
        <f>G412+G411+G413</f>
        <v>178.9</v>
      </c>
      <c r="H410" s="38"/>
      <c r="I410" s="23"/>
      <c r="K410" s="115"/>
    </row>
    <row r="411" spans="1:11" s="30" customFormat="1" ht="33.75" customHeight="1">
      <c r="A411" s="10" t="s">
        <v>127</v>
      </c>
      <c r="B411" s="6" t="s">
        <v>7</v>
      </c>
      <c r="C411" s="2" t="s">
        <v>54</v>
      </c>
      <c r="D411" s="2" t="s">
        <v>126</v>
      </c>
      <c r="E411" s="40">
        <f>355-20</f>
        <v>335</v>
      </c>
      <c r="F411" s="38"/>
      <c r="G411" s="40">
        <v>102.9</v>
      </c>
      <c r="H411" s="38"/>
      <c r="I411" s="23"/>
      <c r="K411" s="115"/>
    </row>
    <row r="412" spans="1:11" s="30" customFormat="1" ht="34.5" customHeight="1">
      <c r="A412" s="10" t="s">
        <v>24</v>
      </c>
      <c r="B412" s="6" t="s">
        <v>7</v>
      </c>
      <c r="C412" s="2" t="s">
        <v>54</v>
      </c>
      <c r="D412" s="2" t="s">
        <v>23</v>
      </c>
      <c r="E412" s="40">
        <f>180+62</f>
        <v>242</v>
      </c>
      <c r="F412" s="38"/>
      <c r="G412" s="40">
        <v>75.4</v>
      </c>
      <c r="H412" s="38"/>
      <c r="I412" s="23"/>
      <c r="K412" s="115"/>
    </row>
    <row r="413" spans="1:11" s="30" customFormat="1" ht="27.75" customHeight="1">
      <c r="A413" s="47" t="s">
        <v>309</v>
      </c>
      <c r="B413" s="6" t="s">
        <v>7</v>
      </c>
      <c r="C413" s="2" t="s">
        <v>54</v>
      </c>
      <c r="D413" s="2" t="s">
        <v>313</v>
      </c>
      <c r="E413" s="91">
        <f>45-42</f>
        <v>3</v>
      </c>
      <c r="F413" s="38"/>
      <c r="G413" s="91">
        <v>0.6</v>
      </c>
      <c r="H413" s="38"/>
      <c r="I413" s="23"/>
      <c r="K413" s="115"/>
    </row>
    <row r="414" spans="1:11" s="30" customFormat="1" ht="21.75" customHeight="1">
      <c r="A414" s="100" t="s">
        <v>310</v>
      </c>
      <c r="B414" s="6" t="s">
        <v>7</v>
      </c>
      <c r="C414" s="2" t="s">
        <v>54</v>
      </c>
      <c r="D414" s="2" t="s">
        <v>314</v>
      </c>
      <c r="E414" s="91">
        <v>0</v>
      </c>
      <c r="F414" s="38"/>
      <c r="G414" s="91">
        <v>0</v>
      </c>
      <c r="H414" s="38"/>
      <c r="I414" s="23"/>
      <c r="K414" s="115"/>
    </row>
    <row r="415" spans="1:11" s="30" customFormat="1" ht="53.25" customHeight="1">
      <c r="A415" s="9" t="s">
        <v>209</v>
      </c>
      <c r="B415" s="6" t="s">
        <v>7</v>
      </c>
      <c r="C415" s="2" t="s">
        <v>210</v>
      </c>
      <c r="D415" s="2" t="s">
        <v>157</v>
      </c>
      <c r="E415" s="33">
        <f>E416</f>
        <v>8424</v>
      </c>
      <c r="F415" s="36"/>
      <c r="G415" s="33">
        <f>G416</f>
        <v>3406.6</v>
      </c>
      <c r="H415" s="36"/>
      <c r="I415" s="23"/>
      <c r="K415" s="115"/>
    </row>
    <row r="416" spans="1:11" s="30" customFormat="1" ht="25.5">
      <c r="A416" s="8" t="s">
        <v>197</v>
      </c>
      <c r="B416" s="6" t="s">
        <v>7</v>
      </c>
      <c r="C416" s="2" t="s">
        <v>284</v>
      </c>
      <c r="D416" s="2" t="s">
        <v>157</v>
      </c>
      <c r="E416" s="33">
        <f>E417</f>
        <v>8424</v>
      </c>
      <c r="F416" s="36"/>
      <c r="G416" s="33">
        <f>G417</f>
        <v>3406.6</v>
      </c>
      <c r="H416" s="36"/>
      <c r="I416" s="23"/>
      <c r="K416" s="115"/>
    </row>
    <row r="417" spans="1:11" s="30" customFormat="1" ht="71.25" customHeight="1">
      <c r="A417" s="8" t="s">
        <v>94</v>
      </c>
      <c r="B417" s="6" t="s">
        <v>7</v>
      </c>
      <c r="C417" s="50" t="s">
        <v>59</v>
      </c>
      <c r="D417" s="5" t="s">
        <v>157</v>
      </c>
      <c r="E417" s="40">
        <f>E418+E419+E420+E421+E422</f>
        <v>8424</v>
      </c>
      <c r="F417" s="38"/>
      <c r="G417" s="40">
        <f>G418+G419+G420+G421+G422</f>
        <v>3406.6</v>
      </c>
      <c r="H417" s="38"/>
      <c r="I417" s="23"/>
      <c r="K417" s="115"/>
    </row>
    <row r="418" spans="1:11" s="30" customFormat="1" ht="18.75" customHeight="1">
      <c r="A418" s="25" t="s">
        <v>224</v>
      </c>
      <c r="B418" s="6" t="s">
        <v>7</v>
      </c>
      <c r="C418" s="50" t="s">
        <v>59</v>
      </c>
      <c r="D418" s="2" t="s">
        <v>308</v>
      </c>
      <c r="E418" s="40">
        <f>7899-100</f>
        <v>7799</v>
      </c>
      <c r="F418" s="38"/>
      <c r="G418" s="40">
        <v>3092</v>
      </c>
      <c r="H418" s="38"/>
      <c r="I418" s="23"/>
      <c r="K418" s="115"/>
    </row>
    <row r="419" spans="1:11" s="30" customFormat="1" ht="30" customHeight="1">
      <c r="A419" s="100" t="s">
        <v>125</v>
      </c>
      <c r="B419" s="6" t="s">
        <v>7</v>
      </c>
      <c r="C419" s="50" t="s">
        <v>59</v>
      </c>
      <c r="D419" s="2" t="s">
        <v>354</v>
      </c>
      <c r="E419" s="40">
        <v>0</v>
      </c>
      <c r="F419" s="38"/>
      <c r="G419" s="40">
        <v>0</v>
      </c>
      <c r="H419" s="38"/>
      <c r="I419" s="23"/>
      <c r="K419" s="115"/>
    </row>
    <row r="420" spans="1:11" s="30" customFormat="1" ht="27.75" customHeight="1">
      <c r="A420" s="10" t="s">
        <v>127</v>
      </c>
      <c r="B420" s="6" t="s">
        <v>7</v>
      </c>
      <c r="C420" s="50" t="s">
        <v>59</v>
      </c>
      <c r="D420" s="2" t="s">
        <v>126</v>
      </c>
      <c r="E420" s="40">
        <f>582-177-80-24.5</f>
        <v>300.5</v>
      </c>
      <c r="F420" s="38"/>
      <c r="G420" s="40">
        <v>122.5</v>
      </c>
      <c r="H420" s="38"/>
      <c r="I420" s="23"/>
      <c r="K420" s="115"/>
    </row>
    <row r="421" spans="1:11" s="30" customFormat="1" ht="30" customHeight="1">
      <c r="A421" s="10" t="s">
        <v>24</v>
      </c>
      <c r="B421" s="6" t="s">
        <v>7</v>
      </c>
      <c r="C421" s="50" t="s">
        <v>59</v>
      </c>
      <c r="D421" s="2" t="s">
        <v>23</v>
      </c>
      <c r="E421" s="40">
        <f>177+80+24.5+40</f>
        <v>321.5</v>
      </c>
      <c r="F421" s="38"/>
      <c r="G421" s="40">
        <v>191.5</v>
      </c>
      <c r="H421" s="38"/>
      <c r="I421" s="23"/>
      <c r="K421" s="115"/>
    </row>
    <row r="422" spans="1:11" s="30" customFormat="1" ht="34.5" customHeight="1">
      <c r="A422" s="47" t="s">
        <v>309</v>
      </c>
      <c r="B422" s="6" t="s">
        <v>7</v>
      </c>
      <c r="C422" s="50" t="s">
        <v>59</v>
      </c>
      <c r="D422" s="5" t="s">
        <v>313</v>
      </c>
      <c r="E422" s="40">
        <v>3</v>
      </c>
      <c r="F422" s="38"/>
      <c r="G422" s="40">
        <v>0.6</v>
      </c>
      <c r="H422" s="38"/>
      <c r="I422" s="23"/>
      <c r="K422" s="115"/>
    </row>
    <row r="423" spans="1:11" s="30" customFormat="1" ht="19.5" customHeight="1">
      <c r="A423" s="100" t="s">
        <v>310</v>
      </c>
      <c r="B423" s="6" t="s">
        <v>7</v>
      </c>
      <c r="C423" s="50" t="s">
        <v>59</v>
      </c>
      <c r="D423" s="5" t="s">
        <v>314</v>
      </c>
      <c r="E423" s="40">
        <v>0</v>
      </c>
      <c r="F423" s="38"/>
      <c r="G423" s="40"/>
      <c r="H423" s="38"/>
      <c r="I423" s="23"/>
      <c r="K423" s="115"/>
    </row>
    <row r="424" spans="1:11" s="30" customFormat="1" ht="18" customHeight="1">
      <c r="A424" s="47" t="s">
        <v>35</v>
      </c>
      <c r="B424" s="6" t="s">
        <v>7</v>
      </c>
      <c r="C424" s="50" t="s">
        <v>36</v>
      </c>
      <c r="D424" s="5" t="s">
        <v>157</v>
      </c>
      <c r="E424" s="40">
        <f>E425</f>
        <v>3000</v>
      </c>
      <c r="F424" s="38"/>
      <c r="G424" s="40">
        <f>G425</f>
        <v>3000</v>
      </c>
      <c r="H424" s="38"/>
      <c r="I424" s="23"/>
      <c r="K424" s="115"/>
    </row>
    <row r="425" spans="1:11" s="30" customFormat="1" ht="41.25" customHeight="1">
      <c r="A425" s="46" t="s">
        <v>330</v>
      </c>
      <c r="B425" s="6" t="s">
        <v>7</v>
      </c>
      <c r="C425" s="50" t="s">
        <v>73</v>
      </c>
      <c r="D425" s="5" t="s">
        <v>157</v>
      </c>
      <c r="E425" s="40">
        <f>E426</f>
        <v>3000</v>
      </c>
      <c r="F425" s="38"/>
      <c r="G425" s="40">
        <f>G426</f>
        <v>3000</v>
      </c>
      <c r="H425" s="38"/>
      <c r="I425" s="23"/>
      <c r="K425" s="115"/>
    </row>
    <row r="426" spans="1:11" s="30" customFormat="1" ht="93.75" customHeight="1">
      <c r="A426" s="17" t="s">
        <v>481</v>
      </c>
      <c r="B426" s="6" t="s">
        <v>7</v>
      </c>
      <c r="C426" s="50" t="s">
        <v>480</v>
      </c>
      <c r="D426" s="5" t="s">
        <v>495</v>
      </c>
      <c r="E426" s="40">
        <v>3000</v>
      </c>
      <c r="F426" s="38"/>
      <c r="G426" s="40">
        <v>3000</v>
      </c>
      <c r="H426" s="38"/>
      <c r="I426" s="23"/>
      <c r="K426" s="115"/>
    </row>
    <row r="427" spans="1:11" s="30" customFormat="1" ht="16.5" customHeight="1">
      <c r="A427" s="65" t="s">
        <v>112</v>
      </c>
      <c r="B427" s="66" t="s">
        <v>164</v>
      </c>
      <c r="C427" s="66" t="s">
        <v>183</v>
      </c>
      <c r="D427" s="66" t="s">
        <v>157</v>
      </c>
      <c r="E427" s="67">
        <f>E428+E453+E481+E491+E499</f>
        <v>310077.85</v>
      </c>
      <c r="F427" s="67">
        <f>F428+F453+F481+F491+F499</f>
        <v>183751.84999999998</v>
      </c>
      <c r="G427" s="67">
        <f>G428+G453+G481+G491+G499</f>
        <v>102161</v>
      </c>
      <c r="H427" s="67">
        <f>H428+H453+H481+H491+H499</f>
        <v>85091.7</v>
      </c>
      <c r="I427" s="88">
        <f>G427/E427*100</f>
        <v>32.94688737038135</v>
      </c>
      <c r="K427" s="115"/>
    </row>
    <row r="428" spans="1:11" s="30" customFormat="1" ht="17.25" customHeight="1">
      <c r="A428" s="11" t="s">
        <v>17</v>
      </c>
      <c r="B428" s="2" t="s">
        <v>218</v>
      </c>
      <c r="C428" s="2" t="s">
        <v>183</v>
      </c>
      <c r="D428" s="2" t="s">
        <v>157</v>
      </c>
      <c r="E428" s="36">
        <f>E429+E451</f>
        <v>169364.8</v>
      </c>
      <c r="F428" s="36">
        <f>F429</f>
        <v>53672.7</v>
      </c>
      <c r="G428" s="36">
        <f>G429+G451</f>
        <v>34303.7</v>
      </c>
      <c r="H428" s="36">
        <f>H429</f>
        <v>25628.8</v>
      </c>
      <c r="I428" s="23"/>
      <c r="K428" s="115"/>
    </row>
    <row r="429" spans="1:11" s="30" customFormat="1" ht="24" customHeight="1">
      <c r="A429" s="8" t="s">
        <v>225</v>
      </c>
      <c r="B429" s="1" t="s">
        <v>218</v>
      </c>
      <c r="C429" s="1" t="s">
        <v>220</v>
      </c>
      <c r="D429" s="1" t="s">
        <v>157</v>
      </c>
      <c r="E429" s="34">
        <f>E438+E432+E430+E434+E436</f>
        <v>166037.69999999998</v>
      </c>
      <c r="F429" s="34">
        <f>F438+F432+F430+F434</f>
        <v>53672.7</v>
      </c>
      <c r="G429" s="34">
        <f>G438+G432+G430+G434+G436</f>
        <v>34303.7</v>
      </c>
      <c r="H429" s="34">
        <f>H438+H432+H430+H434</f>
        <v>25628.8</v>
      </c>
      <c r="I429" s="23"/>
      <c r="K429" s="115"/>
    </row>
    <row r="430" spans="1:11" s="30" customFormat="1" ht="39" customHeight="1">
      <c r="A430" s="8" t="s">
        <v>418</v>
      </c>
      <c r="B430" s="1" t="s">
        <v>218</v>
      </c>
      <c r="C430" s="1" t="s">
        <v>365</v>
      </c>
      <c r="D430" s="1" t="s">
        <v>157</v>
      </c>
      <c r="E430" s="34">
        <f>E431</f>
        <v>31561.3</v>
      </c>
      <c r="F430" s="34">
        <f>F431</f>
        <v>31561.3</v>
      </c>
      <c r="G430" s="34">
        <f>G431</f>
        <v>15248.2</v>
      </c>
      <c r="H430" s="34">
        <f>H431</f>
        <v>15248.2</v>
      </c>
      <c r="I430" s="23"/>
      <c r="K430" s="115"/>
    </row>
    <row r="431" spans="1:11" s="30" customFormat="1" ht="44.25" customHeight="1">
      <c r="A431" s="17" t="s">
        <v>250</v>
      </c>
      <c r="B431" s="1" t="s">
        <v>218</v>
      </c>
      <c r="C431" s="1" t="s">
        <v>365</v>
      </c>
      <c r="D431" s="1" t="s">
        <v>249</v>
      </c>
      <c r="E431" s="34">
        <f>29431.3+2130</f>
        <v>31561.3</v>
      </c>
      <c r="F431" s="34">
        <f>29431.3+2130</f>
        <v>31561.3</v>
      </c>
      <c r="G431" s="34">
        <v>15248.2</v>
      </c>
      <c r="H431" s="34">
        <v>15248.2</v>
      </c>
      <c r="I431" s="23"/>
      <c r="K431" s="115"/>
    </row>
    <row r="432" spans="1:11" s="30" customFormat="1" ht="56.25" customHeight="1">
      <c r="A432" s="8" t="s">
        <v>419</v>
      </c>
      <c r="B432" s="1" t="s">
        <v>218</v>
      </c>
      <c r="C432" s="1" t="s">
        <v>366</v>
      </c>
      <c r="D432" s="1" t="s">
        <v>157</v>
      </c>
      <c r="E432" s="34">
        <f>E433</f>
        <v>13087.9</v>
      </c>
      <c r="F432" s="34">
        <f>F433</f>
        <v>13087.9</v>
      </c>
      <c r="G432" s="34">
        <f>G433</f>
        <v>6544.2</v>
      </c>
      <c r="H432" s="34">
        <f>H433</f>
        <v>6544.2</v>
      </c>
      <c r="I432" s="23"/>
      <c r="K432" s="115"/>
    </row>
    <row r="433" spans="1:11" s="30" customFormat="1" ht="43.5" customHeight="1">
      <c r="A433" s="17" t="s">
        <v>250</v>
      </c>
      <c r="B433" s="1" t="s">
        <v>218</v>
      </c>
      <c r="C433" s="1" t="s">
        <v>366</v>
      </c>
      <c r="D433" s="1" t="s">
        <v>249</v>
      </c>
      <c r="E433" s="34">
        <f>13087.9</f>
        <v>13087.9</v>
      </c>
      <c r="F433" s="34">
        <f>13087.9</f>
        <v>13087.9</v>
      </c>
      <c r="G433" s="34">
        <v>6544.2</v>
      </c>
      <c r="H433" s="34">
        <v>6544.2</v>
      </c>
      <c r="I433" s="23"/>
      <c r="K433" s="115"/>
    </row>
    <row r="434" spans="1:11" s="30" customFormat="1" ht="42" customHeight="1">
      <c r="A434" s="8" t="s">
        <v>364</v>
      </c>
      <c r="B434" s="1" t="s">
        <v>218</v>
      </c>
      <c r="C434" s="1" t="s">
        <v>367</v>
      </c>
      <c r="D434" s="1" t="s">
        <v>157</v>
      </c>
      <c r="E434" s="34">
        <f>E435</f>
        <v>7369.6</v>
      </c>
      <c r="F434" s="34">
        <f>F435</f>
        <v>7369.6</v>
      </c>
      <c r="G434" s="34">
        <f>G435</f>
        <v>3684.6</v>
      </c>
      <c r="H434" s="34">
        <f>H435</f>
        <v>3684.6</v>
      </c>
      <c r="I434" s="23"/>
      <c r="K434" s="115"/>
    </row>
    <row r="435" spans="1:11" s="30" customFormat="1" ht="45" customHeight="1">
      <c r="A435" s="17" t="s">
        <v>250</v>
      </c>
      <c r="B435" s="1" t="s">
        <v>218</v>
      </c>
      <c r="C435" s="1" t="s">
        <v>367</v>
      </c>
      <c r="D435" s="1" t="s">
        <v>249</v>
      </c>
      <c r="E435" s="34">
        <f>7369.6</f>
        <v>7369.6</v>
      </c>
      <c r="F435" s="34">
        <f>7369.6</f>
        <v>7369.6</v>
      </c>
      <c r="G435" s="34">
        <v>3684.6</v>
      </c>
      <c r="H435" s="34">
        <v>3684.6</v>
      </c>
      <c r="I435" s="23"/>
      <c r="K435" s="115"/>
    </row>
    <row r="436" spans="1:11" s="30" customFormat="1" ht="41.25" customHeight="1">
      <c r="A436" s="17" t="s">
        <v>483</v>
      </c>
      <c r="B436" s="1" t="s">
        <v>218</v>
      </c>
      <c r="C436" s="1" t="s">
        <v>482</v>
      </c>
      <c r="D436" s="1" t="s">
        <v>157</v>
      </c>
      <c r="E436" s="34">
        <f>E437</f>
        <v>8525</v>
      </c>
      <c r="F436" s="34"/>
      <c r="G436" s="34">
        <f>G437</f>
        <v>8524.9</v>
      </c>
      <c r="H436" s="34"/>
      <c r="I436" s="23"/>
      <c r="K436" s="115"/>
    </row>
    <row r="437" spans="1:11" s="30" customFormat="1" ht="20.25" customHeight="1">
      <c r="A437" s="93" t="s">
        <v>147</v>
      </c>
      <c r="B437" s="1" t="s">
        <v>218</v>
      </c>
      <c r="C437" s="1" t="s">
        <v>482</v>
      </c>
      <c r="D437" s="1" t="s">
        <v>146</v>
      </c>
      <c r="E437" s="34">
        <f>8543.9-18.9</f>
        <v>8525</v>
      </c>
      <c r="F437" s="34"/>
      <c r="G437" s="34">
        <v>8524.9</v>
      </c>
      <c r="H437" s="34"/>
      <c r="I437" s="23"/>
      <c r="K437" s="115"/>
    </row>
    <row r="438" spans="1:11" s="30" customFormat="1" ht="20.25" customHeight="1">
      <c r="A438" s="8" t="s">
        <v>256</v>
      </c>
      <c r="B438" s="2" t="s">
        <v>218</v>
      </c>
      <c r="C438" s="2" t="s">
        <v>257</v>
      </c>
      <c r="D438" s="2" t="s">
        <v>157</v>
      </c>
      <c r="E438" s="36">
        <f>E441+E443+E439</f>
        <v>105493.9</v>
      </c>
      <c r="F438" s="36">
        <f>F441</f>
        <v>1653.9</v>
      </c>
      <c r="G438" s="36">
        <f>G441+G443+G439</f>
        <v>301.8</v>
      </c>
      <c r="H438" s="36">
        <f>H441</f>
        <v>151.8</v>
      </c>
      <c r="I438" s="23"/>
      <c r="K438" s="115"/>
    </row>
    <row r="439" spans="1:11" s="30" customFormat="1" ht="42.75" customHeight="1">
      <c r="A439" s="100" t="s">
        <v>479</v>
      </c>
      <c r="B439" s="2" t="s">
        <v>218</v>
      </c>
      <c r="C439" s="114" t="s">
        <v>500</v>
      </c>
      <c r="D439" s="50" t="s">
        <v>157</v>
      </c>
      <c r="E439" s="36">
        <f>E440</f>
        <v>840</v>
      </c>
      <c r="F439" s="36"/>
      <c r="G439" s="36">
        <f>G440</f>
        <v>150</v>
      </c>
      <c r="H439" s="36"/>
      <c r="I439" s="23"/>
      <c r="K439" s="115"/>
    </row>
    <row r="440" spans="1:11" s="30" customFormat="1" ht="24" customHeight="1">
      <c r="A440" s="93" t="s">
        <v>147</v>
      </c>
      <c r="B440" s="2" t="s">
        <v>218</v>
      </c>
      <c r="C440" s="114" t="s">
        <v>500</v>
      </c>
      <c r="D440" s="50" t="s">
        <v>146</v>
      </c>
      <c r="E440" s="36">
        <v>840</v>
      </c>
      <c r="F440" s="36"/>
      <c r="G440" s="36">
        <v>150</v>
      </c>
      <c r="H440" s="36"/>
      <c r="I440" s="23"/>
      <c r="K440" s="115"/>
    </row>
    <row r="441" spans="1:11" s="30" customFormat="1" ht="57.75" customHeight="1">
      <c r="A441" s="8" t="s">
        <v>336</v>
      </c>
      <c r="B441" s="2" t="s">
        <v>218</v>
      </c>
      <c r="C441" s="5" t="s">
        <v>462</v>
      </c>
      <c r="D441" s="2" t="s">
        <v>157</v>
      </c>
      <c r="E441" s="36">
        <f>E442</f>
        <v>1653.9</v>
      </c>
      <c r="F441" s="36">
        <f>F442</f>
        <v>1653.9</v>
      </c>
      <c r="G441" s="36">
        <f>G442</f>
        <v>151.8</v>
      </c>
      <c r="H441" s="36">
        <f>H442</f>
        <v>151.8</v>
      </c>
      <c r="I441" s="23"/>
      <c r="K441" s="115"/>
    </row>
    <row r="442" spans="1:11" s="30" customFormat="1" ht="21.75" customHeight="1">
      <c r="A442" s="8" t="s">
        <v>25</v>
      </c>
      <c r="B442" s="2" t="s">
        <v>218</v>
      </c>
      <c r="C442" s="5" t="s">
        <v>462</v>
      </c>
      <c r="D442" s="1" t="s">
        <v>249</v>
      </c>
      <c r="E442" s="36">
        <f>1318+335.9</f>
        <v>1653.9</v>
      </c>
      <c r="F442" s="36">
        <f>1318+335.9</f>
        <v>1653.9</v>
      </c>
      <c r="G442" s="36">
        <v>151.8</v>
      </c>
      <c r="H442" s="36">
        <v>151.8</v>
      </c>
      <c r="I442" s="23"/>
      <c r="K442" s="115"/>
    </row>
    <row r="443" spans="1:11" s="30" customFormat="1" ht="41.25" customHeight="1">
      <c r="A443" s="8" t="s">
        <v>468</v>
      </c>
      <c r="B443" s="2" t="s">
        <v>218</v>
      </c>
      <c r="C443" s="5" t="s">
        <v>471</v>
      </c>
      <c r="D443" s="1" t="s">
        <v>157</v>
      </c>
      <c r="E443" s="36">
        <f>E444+E448</f>
        <v>103000</v>
      </c>
      <c r="F443" s="36"/>
      <c r="G443" s="36">
        <f>G444+G448</f>
        <v>0</v>
      </c>
      <c r="H443" s="36"/>
      <c r="I443" s="23"/>
      <c r="K443" s="115"/>
    </row>
    <row r="444" spans="1:11" s="30" customFormat="1" ht="33" customHeight="1">
      <c r="A444" s="8" t="s">
        <v>474</v>
      </c>
      <c r="B444" s="2" t="s">
        <v>218</v>
      </c>
      <c r="C444" s="5" t="s">
        <v>475</v>
      </c>
      <c r="D444" s="1" t="s">
        <v>157</v>
      </c>
      <c r="E444" s="36">
        <f>E445</f>
        <v>98000</v>
      </c>
      <c r="F444" s="36"/>
      <c r="G444" s="36">
        <f>G445</f>
        <v>0</v>
      </c>
      <c r="H444" s="36"/>
      <c r="I444" s="23"/>
      <c r="K444" s="115"/>
    </row>
    <row r="445" spans="1:11" s="30" customFormat="1" ht="33.75" customHeight="1">
      <c r="A445" s="8" t="s">
        <v>470</v>
      </c>
      <c r="B445" s="2" t="s">
        <v>218</v>
      </c>
      <c r="C445" s="5" t="s">
        <v>472</v>
      </c>
      <c r="D445" s="1" t="s">
        <v>157</v>
      </c>
      <c r="E445" s="36">
        <f>E446</f>
        <v>98000</v>
      </c>
      <c r="F445" s="36"/>
      <c r="G445" s="36">
        <f>G446</f>
        <v>0</v>
      </c>
      <c r="H445" s="36"/>
      <c r="I445" s="23"/>
      <c r="K445" s="115"/>
    </row>
    <row r="446" spans="1:11" s="30" customFormat="1" ht="27" customHeight="1">
      <c r="A446" s="8" t="s">
        <v>469</v>
      </c>
      <c r="B446" s="2" t="s">
        <v>218</v>
      </c>
      <c r="C446" s="5" t="s">
        <v>472</v>
      </c>
      <c r="D446" s="1" t="s">
        <v>157</v>
      </c>
      <c r="E446" s="36">
        <f>E447</f>
        <v>98000</v>
      </c>
      <c r="F446" s="36"/>
      <c r="G446" s="36">
        <f>G447</f>
        <v>0</v>
      </c>
      <c r="H446" s="36"/>
      <c r="I446" s="23"/>
      <c r="K446" s="115"/>
    </row>
    <row r="447" spans="1:11" s="30" customFormat="1" ht="21.75" customHeight="1">
      <c r="A447" s="8" t="s">
        <v>25</v>
      </c>
      <c r="B447" s="2" t="s">
        <v>218</v>
      </c>
      <c r="C447" s="5" t="s">
        <v>472</v>
      </c>
      <c r="D447" s="1" t="s">
        <v>249</v>
      </c>
      <c r="E447" s="36">
        <f>98000</f>
        <v>98000</v>
      </c>
      <c r="F447" s="36"/>
      <c r="G447" s="36">
        <v>0</v>
      </c>
      <c r="H447" s="36"/>
      <c r="I447" s="23"/>
      <c r="K447" s="115"/>
    </row>
    <row r="448" spans="1:11" s="30" customFormat="1" ht="33" customHeight="1">
      <c r="A448" s="8" t="s">
        <v>477</v>
      </c>
      <c r="B448" s="2" t="s">
        <v>218</v>
      </c>
      <c r="C448" s="5" t="s">
        <v>476</v>
      </c>
      <c r="D448" s="1" t="s">
        <v>157</v>
      </c>
      <c r="E448" s="36">
        <f>E449</f>
        <v>5000</v>
      </c>
      <c r="F448" s="36"/>
      <c r="G448" s="36">
        <f>G449</f>
        <v>0</v>
      </c>
      <c r="H448" s="36"/>
      <c r="I448" s="23"/>
      <c r="K448" s="115"/>
    </row>
    <row r="449" spans="1:11" s="30" customFormat="1" ht="30" customHeight="1">
      <c r="A449" s="8" t="s">
        <v>478</v>
      </c>
      <c r="B449" s="2" t="s">
        <v>218</v>
      </c>
      <c r="C449" s="5" t="s">
        <v>473</v>
      </c>
      <c r="D449" s="1" t="s">
        <v>157</v>
      </c>
      <c r="E449" s="36">
        <f>E450</f>
        <v>5000</v>
      </c>
      <c r="F449" s="36"/>
      <c r="G449" s="36">
        <f>G450</f>
        <v>0</v>
      </c>
      <c r="H449" s="36"/>
      <c r="I449" s="23"/>
      <c r="K449" s="115"/>
    </row>
    <row r="450" spans="1:11" s="30" customFormat="1" ht="21.75" customHeight="1">
      <c r="A450" s="8" t="s">
        <v>25</v>
      </c>
      <c r="B450" s="2" t="s">
        <v>218</v>
      </c>
      <c r="C450" s="5" t="s">
        <v>473</v>
      </c>
      <c r="D450" s="1" t="s">
        <v>249</v>
      </c>
      <c r="E450" s="36">
        <f>5000</f>
        <v>5000</v>
      </c>
      <c r="F450" s="36"/>
      <c r="G450" s="36">
        <v>0</v>
      </c>
      <c r="H450" s="36"/>
      <c r="I450" s="23"/>
      <c r="K450" s="115"/>
    </row>
    <row r="451" spans="1:11" s="30" customFormat="1" ht="43.5" customHeight="1">
      <c r="A451" s="8" t="s">
        <v>492</v>
      </c>
      <c r="B451" s="2" t="s">
        <v>218</v>
      </c>
      <c r="C451" s="5" t="s">
        <v>493</v>
      </c>
      <c r="D451" s="1" t="s">
        <v>157</v>
      </c>
      <c r="E451" s="36">
        <f>E452</f>
        <v>3327.1</v>
      </c>
      <c r="F451" s="36"/>
      <c r="G451" s="36">
        <f>G452</f>
        <v>0</v>
      </c>
      <c r="H451" s="36"/>
      <c r="I451" s="23"/>
      <c r="K451" s="115"/>
    </row>
    <row r="452" spans="1:11" s="30" customFormat="1" ht="21.75" customHeight="1">
      <c r="A452" s="93" t="s">
        <v>147</v>
      </c>
      <c r="B452" s="2" t="s">
        <v>218</v>
      </c>
      <c r="C452" s="5" t="s">
        <v>494</v>
      </c>
      <c r="D452" s="1" t="s">
        <v>146</v>
      </c>
      <c r="E452" s="36">
        <f>3327.1</f>
        <v>3327.1</v>
      </c>
      <c r="F452" s="36"/>
      <c r="G452" s="36">
        <v>0</v>
      </c>
      <c r="H452" s="36"/>
      <c r="I452" s="23"/>
      <c r="K452" s="115"/>
    </row>
    <row r="453" spans="1:11" s="30" customFormat="1" ht="15.75" customHeight="1">
      <c r="A453" s="8" t="s">
        <v>20</v>
      </c>
      <c r="B453" s="2" t="s">
        <v>228</v>
      </c>
      <c r="C453" s="45" t="s">
        <v>183</v>
      </c>
      <c r="D453" s="2" t="s">
        <v>157</v>
      </c>
      <c r="E453" s="36">
        <f>E458+E467+E456+E454+E478</f>
        <v>71236.79999999999</v>
      </c>
      <c r="F453" s="36">
        <f>F458+F467+F456</f>
        <v>62820.3</v>
      </c>
      <c r="G453" s="36">
        <f>G458+G467+G456+G454+G478</f>
        <v>35238.700000000004</v>
      </c>
      <c r="H453" s="36">
        <f>H458+H467+H456</f>
        <v>28895.1</v>
      </c>
      <c r="I453" s="23"/>
      <c r="K453" s="115"/>
    </row>
    <row r="454" spans="1:11" s="30" customFormat="1" ht="42.75" customHeight="1">
      <c r="A454" s="100" t="s">
        <v>479</v>
      </c>
      <c r="B454" s="2" t="s">
        <v>228</v>
      </c>
      <c r="C454" s="114" t="s">
        <v>500</v>
      </c>
      <c r="D454" s="50" t="s">
        <v>157</v>
      </c>
      <c r="E454" s="36">
        <f>E455</f>
        <v>400</v>
      </c>
      <c r="F454" s="38"/>
      <c r="G454" s="36">
        <f>G455</f>
        <v>0</v>
      </c>
      <c r="H454" s="38"/>
      <c r="I454" s="23"/>
      <c r="K454" s="115"/>
    </row>
    <row r="455" spans="1:11" s="30" customFormat="1" ht="22.5" customHeight="1">
      <c r="A455" s="93" t="s">
        <v>147</v>
      </c>
      <c r="B455" s="2" t="s">
        <v>228</v>
      </c>
      <c r="C455" s="114" t="s">
        <v>500</v>
      </c>
      <c r="D455" s="50" t="s">
        <v>146</v>
      </c>
      <c r="E455" s="36">
        <v>400</v>
      </c>
      <c r="F455" s="38"/>
      <c r="G455" s="36">
        <v>0</v>
      </c>
      <c r="H455" s="38"/>
      <c r="I455" s="23"/>
      <c r="K455" s="115"/>
    </row>
    <row r="456" spans="1:11" s="30" customFormat="1" ht="46.5" customHeight="1">
      <c r="A456" s="8" t="s">
        <v>337</v>
      </c>
      <c r="B456" s="5" t="s">
        <v>228</v>
      </c>
      <c r="C456" s="5" t="s">
        <v>463</v>
      </c>
      <c r="D456" s="5" t="s">
        <v>157</v>
      </c>
      <c r="E456" s="38">
        <f>E457</f>
        <v>32095</v>
      </c>
      <c r="F456" s="38">
        <f>F457</f>
        <v>32095</v>
      </c>
      <c r="G456" s="38">
        <f>G457</f>
        <v>13779.1</v>
      </c>
      <c r="H456" s="38">
        <f>H457</f>
        <v>13779.1</v>
      </c>
      <c r="I456" s="23"/>
      <c r="K456" s="115"/>
    </row>
    <row r="457" spans="1:11" s="30" customFormat="1" ht="28.5" customHeight="1">
      <c r="A457" s="10" t="s">
        <v>24</v>
      </c>
      <c r="B457" s="5" t="s">
        <v>228</v>
      </c>
      <c r="C457" s="5" t="s">
        <v>463</v>
      </c>
      <c r="D457" s="1" t="s">
        <v>23</v>
      </c>
      <c r="E457" s="38">
        <f>32095</f>
        <v>32095</v>
      </c>
      <c r="F457" s="38">
        <f>32095</f>
        <v>32095</v>
      </c>
      <c r="G457" s="38">
        <v>13779.1</v>
      </c>
      <c r="H457" s="38">
        <v>13779.1</v>
      </c>
      <c r="I457" s="23"/>
      <c r="K457" s="115"/>
    </row>
    <row r="458" spans="1:11" s="30" customFormat="1" ht="25.5">
      <c r="A458" s="8" t="s">
        <v>225</v>
      </c>
      <c r="B458" s="2" t="s">
        <v>228</v>
      </c>
      <c r="C458" s="2" t="s">
        <v>220</v>
      </c>
      <c r="D458" s="2" t="s">
        <v>157</v>
      </c>
      <c r="E458" s="36">
        <f>E459+E461+E463+E465</f>
        <v>24604.399999999998</v>
      </c>
      <c r="F458" s="36">
        <f>F459+F461+F463</f>
        <v>20614.8</v>
      </c>
      <c r="G458" s="36">
        <f>G459+G461+G463+G465</f>
        <v>14028.900000000001</v>
      </c>
      <c r="H458" s="36">
        <f>H459+H461+H463</f>
        <v>10039.300000000001</v>
      </c>
      <c r="I458" s="23"/>
      <c r="K458" s="115"/>
    </row>
    <row r="459" spans="1:11" s="30" customFormat="1" ht="42.75" customHeight="1">
      <c r="A459" s="8" t="s">
        <v>368</v>
      </c>
      <c r="B459" s="2" t="s">
        <v>228</v>
      </c>
      <c r="C459" s="1" t="s">
        <v>365</v>
      </c>
      <c r="D459" s="1" t="s">
        <v>157</v>
      </c>
      <c r="E459" s="34">
        <f>E460</f>
        <v>13176.2</v>
      </c>
      <c r="F459" s="34">
        <f>F460</f>
        <v>13176.2</v>
      </c>
      <c r="G459" s="34">
        <f>G460</f>
        <v>6318.7</v>
      </c>
      <c r="H459" s="34">
        <f>H460</f>
        <v>6318.7</v>
      </c>
      <c r="I459" s="23"/>
      <c r="K459" s="115"/>
    </row>
    <row r="460" spans="1:11" s="30" customFormat="1" ht="44.25" customHeight="1">
      <c r="A460" s="17" t="s">
        <v>250</v>
      </c>
      <c r="B460" s="2" t="s">
        <v>228</v>
      </c>
      <c r="C460" s="1" t="s">
        <v>365</v>
      </c>
      <c r="D460" s="1" t="s">
        <v>249</v>
      </c>
      <c r="E460" s="34">
        <f>6163.8+1250+1887.9+988.2+2001.3+885</f>
        <v>13176.2</v>
      </c>
      <c r="F460" s="34">
        <f>6163.8+1250+1887.9+988.2+2001.3+885</f>
        <v>13176.2</v>
      </c>
      <c r="G460" s="34">
        <v>6318.7</v>
      </c>
      <c r="H460" s="34">
        <v>6318.7</v>
      </c>
      <c r="I460" s="23"/>
      <c r="K460" s="115"/>
    </row>
    <row r="461" spans="1:11" s="30" customFormat="1" ht="54" customHeight="1">
      <c r="A461" s="8" t="s">
        <v>420</v>
      </c>
      <c r="B461" s="2" t="s">
        <v>228</v>
      </c>
      <c r="C461" s="1" t="s">
        <v>366</v>
      </c>
      <c r="D461" s="1" t="s">
        <v>157</v>
      </c>
      <c r="E461" s="34">
        <f>E462</f>
        <v>6869.3</v>
      </c>
      <c r="F461" s="34">
        <f>F462</f>
        <v>6869.3</v>
      </c>
      <c r="G461" s="34">
        <f>G462</f>
        <v>3435</v>
      </c>
      <c r="H461" s="34">
        <f>H462</f>
        <v>3435</v>
      </c>
      <c r="I461" s="23"/>
      <c r="K461" s="115"/>
    </row>
    <row r="462" spans="1:11" s="30" customFormat="1" ht="42.75" customHeight="1">
      <c r="A462" s="17" t="s">
        <v>250</v>
      </c>
      <c r="B462" s="2" t="s">
        <v>228</v>
      </c>
      <c r="C462" s="1" t="s">
        <v>366</v>
      </c>
      <c r="D462" s="1" t="s">
        <v>249</v>
      </c>
      <c r="E462" s="34">
        <f>5675.2+401.8+1649.1+164.4+698-1719.2</f>
        <v>6869.3</v>
      </c>
      <c r="F462" s="34">
        <f>5675.2+401.8+1649.1+164.4+698-1719.2</f>
        <v>6869.3</v>
      </c>
      <c r="G462" s="34">
        <v>3435</v>
      </c>
      <c r="H462" s="34">
        <v>3435</v>
      </c>
      <c r="I462" s="23"/>
      <c r="K462" s="115"/>
    </row>
    <row r="463" spans="1:11" s="30" customFormat="1" ht="48.75" customHeight="1">
      <c r="A463" s="8" t="s">
        <v>421</v>
      </c>
      <c r="B463" s="2" t="s">
        <v>228</v>
      </c>
      <c r="C463" s="1" t="s">
        <v>367</v>
      </c>
      <c r="D463" s="1" t="s">
        <v>157</v>
      </c>
      <c r="E463" s="36">
        <f>E464</f>
        <v>569.3</v>
      </c>
      <c r="F463" s="36">
        <f>F464</f>
        <v>569.3</v>
      </c>
      <c r="G463" s="36">
        <f>G464</f>
        <v>285.6</v>
      </c>
      <c r="H463" s="36">
        <f>H464</f>
        <v>285.6</v>
      </c>
      <c r="I463" s="23"/>
      <c r="K463" s="115"/>
    </row>
    <row r="464" spans="1:11" s="30" customFormat="1" ht="41.25" customHeight="1">
      <c r="A464" s="17" t="s">
        <v>250</v>
      </c>
      <c r="B464" s="2" t="s">
        <v>228</v>
      </c>
      <c r="C464" s="1" t="s">
        <v>367</v>
      </c>
      <c r="D464" s="1" t="s">
        <v>249</v>
      </c>
      <c r="E464" s="36">
        <f>519.3+50</f>
        <v>569.3</v>
      </c>
      <c r="F464" s="36">
        <f>519.3+50</f>
        <v>569.3</v>
      </c>
      <c r="G464" s="36">
        <v>285.6</v>
      </c>
      <c r="H464" s="36">
        <v>285.6</v>
      </c>
      <c r="I464" s="23"/>
      <c r="K464" s="115"/>
    </row>
    <row r="465" spans="1:11" s="30" customFormat="1" ht="41.25" customHeight="1">
      <c r="A465" s="17" t="s">
        <v>483</v>
      </c>
      <c r="B465" s="2" t="s">
        <v>228</v>
      </c>
      <c r="C465" s="1" t="s">
        <v>482</v>
      </c>
      <c r="D465" s="1" t="s">
        <v>157</v>
      </c>
      <c r="E465" s="36">
        <f>E466</f>
        <v>3989.6</v>
      </c>
      <c r="F465" s="36"/>
      <c r="G465" s="36">
        <f>G466</f>
        <v>3989.6</v>
      </c>
      <c r="H465" s="36"/>
      <c r="I465" s="23"/>
      <c r="K465" s="115"/>
    </row>
    <row r="466" spans="1:11" s="30" customFormat="1" ht="21" customHeight="1">
      <c r="A466" s="93" t="s">
        <v>147</v>
      </c>
      <c r="B466" s="2" t="s">
        <v>228</v>
      </c>
      <c r="C466" s="1" t="s">
        <v>482</v>
      </c>
      <c r="D466" s="1" t="s">
        <v>146</v>
      </c>
      <c r="E466" s="36">
        <f>3970.7+18.9</f>
        <v>3989.6</v>
      </c>
      <c r="F466" s="36"/>
      <c r="G466" s="36">
        <v>3989.6</v>
      </c>
      <c r="H466" s="36"/>
      <c r="I466" s="23"/>
      <c r="K466" s="115"/>
    </row>
    <row r="467" spans="1:11" s="30" customFormat="1" ht="15.75" customHeight="1">
      <c r="A467" s="8" t="s">
        <v>175</v>
      </c>
      <c r="B467" s="2" t="s">
        <v>228</v>
      </c>
      <c r="C467" s="2" t="s">
        <v>221</v>
      </c>
      <c r="D467" s="2" t="s">
        <v>157</v>
      </c>
      <c r="E467" s="36">
        <f>E468+E471+E473+E475</f>
        <v>12464.5</v>
      </c>
      <c r="F467" s="36">
        <f>F468+F471+F473</f>
        <v>10110.5</v>
      </c>
      <c r="G467" s="36">
        <f>G468+G471+G473+G475</f>
        <v>7430.7</v>
      </c>
      <c r="H467" s="36">
        <f>H468+H471+H473</f>
        <v>5076.7</v>
      </c>
      <c r="I467" s="23"/>
      <c r="K467" s="115"/>
    </row>
    <row r="468" spans="1:11" s="30" customFormat="1" ht="43.5" customHeight="1">
      <c r="A468" s="8" t="s">
        <v>402</v>
      </c>
      <c r="B468" s="2" t="s">
        <v>228</v>
      </c>
      <c r="C468" s="2" t="s">
        <v>369</v>
      </c>
      <c r="D468" s="2" t="s">
        <v>157</v>
      </c>
      <c r="E468" s="36">
        <f>E469+E470</f>
        <v>7743.7</v>
      </c>
      <c r="F468" s="36">
        <f>F469+F470</f>
        <v>7743.7</v>
      </c>
      <c r="G468" s="36">
        <f>G469+G470</f>
        <v>3893.5</v>
      </c>
      <c r="H468" s="36">
        <f>H469+H470</f>
        <v>3893.5</v>
      </c>
      <c r="I468" s="23"/>
      <c r="K468" s="115"/>
    </row>
    <row r="469" spans="1:11" s="30" customFormat="1" ht="44.25" customHeight="1">
      <c r="A469" s="17" t="s">
        <v>250</v>
      </c>
      <c r="B469" s="2" t="s">
        <v>228</v>
      </c>
      <c r="C469" s="2" t="s">
        <v>369</v>
      </c>
      <c r="D469" s="1" t="s">
        <v>249</v>
      </c>
      <c r="E469" s="36">
        <f>302.4+1683+2591.3-140.6+2567+589.9</f>
        <v>7593</v>
      </c>
      <c r="F469" s="36">
        <f>302.4+1683+2591.3-140.6+2567+589.9</f>
        <v>7593</v>
      </c>
      <c r="G469" s="36">
        <v>3842.9</v>
      </c>
      <c r="H469" s="36">
        <v>3842.9</v>
      </c>
      <c r="I469" s="23"/>
      <c r="K469" s="115"/>
    </row>
    <row r="470" spans="1:11" s="30" customFormat="1" ht="44.25" customHeight="1">
      <c r="A470" s="17" t="s">
        <v>248</v>
      </c>
      <c r="B470" s="2" t="s">
        <v>228</v>
      </c>
      <c r="C470" s="2" t="s">
        <v>369</v>
      </c>
      <c r="D470" s="1" t="s">
        <v>247</v>
      </c>
      <c r="E470" s="36">
        <f>140.6+10.1</f>
        <v>150.7</v>
      </c>
      <c r="F470" s="36">
        <f>140.6+10.1</f>
        <v>150.7</v>
      </c>
      <c r="G470" s="36">
        <v>50.6</v>
      </c>
      <c r="H470" s="36">
        <v>50.6</v>
      </c>
      <c r="I470" s="23"/>
      <c r="K470" s="115"/>
    </row>
    <row r="471" spans="1:11" s="30" customFormat="1" ht="59.25" customHeight="1">
      <c r="A471" s="8" t="s">
        <v>403</v>
      </c>
      <c r="B471" s="2" t="s">
        <v>228</v>
      </c>
      <c r="C471" s="2" t="s">
        <v>370</v>
      </c>
      <c r="D471" s="2" t="s">
        <v>157</v>
      </c>
      <c r="E471" s="36">
        <f>E472</f>
        <v>2356.8</v>
      </c>
      <c r="F471" s="36">
        <f>F472</f>
        <v>2356.8</v>
      </c>
      <c r="G471" s="36">
        <f>G472</f>
        <v>1178.4</v>
      </c>
      <c r="H471" s="36">
        <f>H472</f>
        <v>1178.4</v>
      </c>
      <c r="I471" s="23"/>
      <c r="K471" s="115"/>
    </row>
    <row r="472" spans="1:11" s="30" customFormat="1" ht="44.25" customHeight="1">
      <c r="A472" s="17" t="s">
        <v>250</v>
      </c>
      <c r="B472" s="2" t="s">
        <v>228</v>
      </c>
      <c r="C472" s="2" t="s">
        <v>370</v>
      </c>
      <c r="D472" s="1" t="s">
        <v>249</v>
      </c>
      <c r="E472" s="36">
        <f>87.9+1235.5+1033.4</f>
        <v>2356.8</v>
      </c>
      <c r="F472" s="36">
        <f>87.9+1235.5+1033.4</f>
        <v>2356.8</v>
      </c>
      <c r="G472" s="36">
        <v>1178.4</v>
      </c>
      <c r="H472" s="36">
        <v>1178.4</v>
      </c>
      <c r="I472" s="23"/>
      <c r="K472" s="115"/>
    </row>
    <row r="473" spans="1:11" s="30" customFormat="1" ht="32.25" customHeight="1">
      <c r="A473" s="8" t="s">
        <v>404</v>
      </c>
      <c r="B473" s="2" t="s">
        <v>228</v>
      </c>
      <c r="C473" s="2" t="s">
        <v>371</v>
      </c>
      <c r="D473" s="2" t="s">
        <v>157</v>
      </c>
      <c r="E473" s="36">
        <f>E474</f>
        <v>10</v>
      </c>
      <c r="F473" s="36">
        <f>F474</f>
        <v>10</v>
      </c>
      <c r="G473" s="36">
        <f>G474</f>
        <v>4.8</v>
      </c>
      <c r="H473" s="36">
        <f>H474</f>
        <v>4.8</v>
      </c>
      <c r="I473" s="23"/>
      <c r="K473" s="115"/>
    </row>
    <row r="474" spans="1:11" s="30" customFormat="1" ht="42" customHeight="1">
      <c r="A474" s="17" t="s">
        <v>250</v>
      </c>
      <c r="B474" s="2" t="s">
        <v>228</v>
      </c>
      <c r="C474" s="2" t="s">
        <v>371</v>
      </c>
      <c r="D474" s="1" t="s">
        <v>249</v>
      </c>
      <c r="E474" s="36">
        <f>10</f>
        <v>10</v>
      </c>
      <c r="F474" s="36">
        <f>10</f>
        <v>10</v>
      </c>
      <c r="G474" s="36">
        <v>4.8</v>
      </c>
      <c r="H474" s="36">
        <v>4.8</v>
      </c>
      <c r="I474" s="23"/>
      <c r="K474" s="115"/>
    </row>
    <row r="475" spans="1:11" s="30" customFormat="1" ht="42" customHeight="1">
      <c r="A475" s="17" t="s">
        <v>487</v>
      </c>
      <c r="B475" s="2" t="s">
        <v>228</v>
      </c>
      <c r="C475" s="2" t="s">
        <v>486</v>
      </c>
      <c r="D475" s="1" t="s">
        <v>157</v>
      </c>
      <c r="E475" s="36">
        <f>E476+E477</f>
        <v>2354</v>
      </c>
      <c r="F475" s="36"/>
      <c r="G475" s="36">
        <f>G476+G477</f>
        <v>2354</v>
      </c>
      <c r="H475" s="36"/>
      <c r="I475" s="23"/>
      <c r="K475" s="115"/>
    </row>
    <row r="476" spans="1:11" s="30" customFormat="1" ht="18.75" customHeight="1">
      <c r="A476" s="93" t="s">
        <v>147</v>
      </c>
      <c r="B476" s="2" t="s">
        <v>228</v>
      </c>
      <c r="C476" s="2" t="s">
        <v>486</v>
      </c>
      <c r="D476" s="1" t="s">
        <v>146</v>
      </c>
      <c r="E476" s="36">
        <f>2319.8+34.2</f>
        <v>2354</v>
      </c>
      <c r="F476" s="36"/>
      <c r="G476" s="36">
        <v>2354</v>
      </c>
      <c r="H476" s="36"/>
      <c r="I476" s="23"/>
      <c r="K476" s="115"/>
    </row>
    <row r="477" spans="1:11" s="30" customFormat="1" ht="18.75" customHeight="1">
      <c r="A477" s="17" t="s">
        <v>489</v>
      </c>
      <c r="B477" s="2" t="s">
        <v>228</v>
      </c>
      <c r="C477" s="2" t="s">
        <v>486</v>
      </c>
      <c r="D477" s="1" t="s">
        <v>488</v>
      </c>
      <c r="E477" s="36">
        <f>34.2-34.2</f>
        <v>0</v>
      </c>
      <c r="F477" s="36"/>
      <c r="G477" s="36">
        <v>0</v>
      </c>
      <c r="H477" s="36"/>
      <c r="I477" s="23"/>
      <c r="K477" s="115"/>
    </row>
    <row r="478" spans="1:11" s="30" customFormat="1" ht="42.75" customHeight="1">
      <c r="A478" s="8" t="s">
        <v>492</v>
      </c>
      <c r="B478" s="2" t="s">
        <v>228</v>
      </c>
      <c r="C478" s="5" t="s">
        <v>493</v>
      </c>
      <c r="D478" s="1" t="s">
        <v>157</v>
      </c>
      <c r="E478" s="36">
        <f>E479+E480</f>
        <v>1672.9</v>
      </c>
      <c r="F478" s="36"/>
      <c r="G478" s="36">
        <f>G479+G480</f>
        <v>0</v>
      </c>
      <c r="H478" s="36"/>
      <c r="I478" s="23"/>
      <c r="K478" s="115"/>
    </row>
    <row r="479" spans="1:11" s="30" customFormat="1" ht="18.75" customHeight="1">
      <c r="A479" s="93" t="s">
        <v>147</v>
      </c>
      <c r="B479" s="2" t="s">
        <v>228</v>
      </c>
      <c r="C479" s="5" t="s">
        <v>494</v>
      </c>
      <c r="D479" s="1" t="s">
        <v>146</v>
      </c>
      <c r="E479" s="36">
        <f>672.9</f>
        <v>672.9</v>
      </c>
      <c r="F479" s="36"/>
      <c r="G479" s="36">
        <v>0</v>
      </c>
      <c r="H479" s="36"/>
      <c r="I479" s="23"/>
      <c r="K479" s="115"/>
    </row>
    <row r="480" spans="1:11" s="30" customFormat="1" ht="18.75" customHeight="1">
      <c r="A480" s="17" t="s">
        <v>489</v>
      </c>
      <c r="B480" s="2" t="s">
        <v>228</v>
      </c>
      <c r="C480" s="5" t="s">
        <v>494</v>
      </c>
      <c r="D480" s="1" t="s">
        <v>488</v>
      </c>
      <c r="E480" s="36">
        <f>1000</f>
        <v>1000</v>
      </c>
      <c r="F480" s="36"/>
      <c r="G480" s="36">
        <v>0</v>
      </c>
      <c r="H480" s="36"/>
      <c r="I480" s="23"/>
      <c r="K480" s="115"/>
    </row>
    <row r="481" spans="1:11" s="30" customFormat="1" ht="17.25" customHeight="1">
      <c r="A481" s="14" t="s">
        <v>22</v>
      </c>
      <c r="B481" s="2" t="s">
        <v>230</v>
      </c>
      <c r="C481" s="2" t="s">
        <v>183</v>
      </c>
      <c r="D481" s="2" t="s">
        <v>157</v>
      </c>
      <c r="E481" s="36">
        <f>E482</f>
        <v>48521.85</v>
      </c>
      <c r="F481" s="36">
        <f>F482</f>
        <v>47602.75</v>
      </c>
      <c r="G481" s="36">
        <f>G482</f>
        <v>24107.899999999998</v>
      </c>
      <c r="H481" s="36">
        <f>H482</f>
        <v>23188.8</v>
      </c>
      <c r="I481" s="23"/>
      <c r="K481" s="115"/>
    </row>
    <row r="482" spans="1:11" s="30" customFormat="1" ht="16.5" customHeight="1">
      <c r="A482" s="8" t="s">
        <v>176</v>
      </c>
      <c r="B482" s="2" t="s">
        <v>230</v>
      </c>
      <c r="C482" s="2" t="s">
        <v>227</v>
      </c>
      <c r="D482" s="2" t="s">
        <v>157</v>
      </c>
      <c r="E482" s="36">
        <f>E483+E485+E487+E489</f>
        <v>48521.85</v>
      </c>
      <c r="F482" s="36">
        <f>F483+F485+F487</f>
        <v>47602.75</v>
      </c>
      <c r="G482" s="36">
        <f>G483+G485+G487+G489</f>
        <v>24107.899999999998</v>
      </c>
      <c r="H482" s="36">
        <f>H483+H485+H487</f>
        <v>23188.8</v>
      </c>
      <c r="I482" s="23"/>
      <c r="K482" s="115"/>
    </row>
    <row r="483" spans="1:11" s="30" customFormat="1" ht="42.75" customHeight="1">
      <c r="A483" s="8" t="s">
        <v>372</v>
      </c>
      <c r="B483" s="2" t="s">
        <v>230</v>
      </c>
      <c r="C483" s="2" t="s">
        <v>373</v>
      </c>
      <c r="D483" s="2" t="s">
        <v>157</v>
      </c>
      <c r="E483" s="36">
        <f>E484</f>
        <v>36496.5</v>
      </c>
      <c r="F483" s="36">
        <f>F484</f>
        <v>36496.5</v>
      </c>
      <c r="G483" s="36">
        <f>G484</f>
        <v>17635.8</v>
      </c>
      <c r="H483" s="36">
        <f>H484</f>
        <v>17635.8</v>
      </c>
      <c r="I483" s="23"/>
      <c r="K483" s="115"/>
    </row>
    <row r="484" spans="1:11" s="30" customFormat="1" ht="43.5" customHeight="1">
      <c r="A484" s="17" t="s">
        <v>250</v>
      </c>
      <c r="B484" s="2" t="s">
        <v>230</v>
      </c>
      <c r="C484" s="2" t="s">
        <v>373</v>
      </c>
      <c r="D484" s="1" t="s">
        <v>249</v>
      </c>
      <c r="E484" s="36">
        <f>34046.5+2450</f>
        <v>36496.5</v>
      </c>
      <c r="F484" s="36">
        <f>34046.5+2450</f>
        <v>36496.5</v>
      </c>
      <c r="G484" s="36">
        <v>17635.8</v>
      </c>
      <c r="H484" s="36">
        <v>17635.8</v>
      </c>
      <c r="I484" s="23"/>
      <c r="K484" s="115"/>
    </row>
    <row r="485" spans="1:11" s="30" customFormat="1" ht="58.5" customHeight="1">
      <c r="A485" s="8" t="s">
        <v>374</v>
      </c>
      <c r="B485" s="2" t="s">
        <v>230</v>
      </c>
      <c r="C485" s="2" t="s">
        <v>375</v>
      </c>
      <c r="D485" s="2" t="s">
        <v>157</v>
      </c>
      <c r="E485" s="36">
        <f>E486</f>
        <v>10106.25</v>
      </c>
      <c r="F485" s="36">
        <f>F486</f>
        <v>10106.25</v>
      </c>
      <c r="G485" s="36">
        <f>G486</f>
        <v>5053.2</v>
      </c>
      <c r="H485" s="36">
        <f>H486</f>
        <v>5053.2</v>
      </c>
      <c r="I485" s="23"/>
      <c r="K485" s="115"/>
    </row>
    <row r="486" spans="1:11" s="30" customFormat="1" ht="43.5" customHeight="1">
      <c r="A486" s="17" t="s">
        <v>250</v>
      </c>
      <c r="B486" s="2" t="s">
        <v>230</v>
      </c>
      <c r="C486" s="2" t="s">
        <v>375</v>
      </c>
      <c r="D486" s="1" t="s">
        <v>249</v>
      </c>
      <c r="E486" s="36">
        <f>10106.25</f>
        <v>10106.25</v>
      </c>
      <c r="F486" s="36">
        <f>10106.25</f>
        <v>10106.25</v>
      </c>
      <c r="G486" s="36">
        <v>5053.2</v>
      </c>
      <c r="H486" s="36">
        <v>5053.2</v>
      </c>
      <c r="I486" s="23"/>
      <c r="K486" s="115"/>
    </row>
    <row r="487" spans="1:11" s="30" customFormat="1" ht="39" customHeight="1">
      <c r="A487" s="8" t="s">
        <v>376</v>
      </c>
      <c r="B487" s="2" t="s">
        <v>230</v>
      </c>
      <c r="C487" s="2" t="s">
        <v>377</v>
      </c>
      <c r="D487" s="2" t="s">
        <v>157</v>
      </c>
      <c r="E487" s="36">
        <f>E488</f>
        <v>1000</v>
      </c>
      <c r="F487" s="36">
        <f>F488</f>
        <v>1000</v>
      </c>
      <c r="G487" s="36">
        <f>G488</f>
        <v>499.8</v>
      </c>
      <c r="H487" s="36">
        <f>H488</f>
        <v>499.8</v>
      </c>
      <c r="I487" s="23"/>
      <c r="K487" s="115"/>
    </row>
    <row r="488" spans="1:11" s="30" customFormat="1" ht="42.75" customHeight="1">
      <c r="A488" s="17" t="s">
        <v>250</v>
      </c>
      <c r="B488" s="2" t="s">
        <v>230</v>
      </c>
      <c r="C488" s="2" t="s">
        <v>377</v>
      </c>
      <c r="D488" s="1" t="s">
        <v>249</v>
      </c>
      <c r="E488" s="36">
        <f>1000</f>
        <v>1000</v>
      </c>
      <c r="F488" s="36">
        <f>1000</f>
        <v>1000</v>
      </c>
      <c r="G488" s="36">
        <v>499.8</v>
      </c>
      <c r="H488" s="36">
        <v>499.8</v>
      </c>
      <c r="I488" s="23"/>
      <c r="K488" s="115"/>
    </row>
    <row r="489" spans="1:11" s="30" customFormat="1" ht="28.5" customHeight="1">
      <c r="A489" s="17" t="s">
        <v>491</v>
      </c>
      <c r="B489" s="2" t="s">
        <v>230</v>
      </c>
      <c r="C489" s="2" t="s">
        <v>490</v>
      </c>
      <c r="D489" s="1" t="s">
        <v>157</v>
      </c>
      <c r="E489" s="36">
        <f>E490</f>
        <v>919.1</v>
      </c>
      <c r="F489" s="36"/>
      <c r="G489" s="36">
        <f>G490</f>
        <v>919.1</v>
      </c>
      <c r="H489" s="36"/>
      <c r="I489" s="23"/>
      <c r="K489" s="115"/>
    </row>
    <row r="490" spans="1:11" s="30" customFormat="1" ht="18.75" customHeight="1">
      <c r="A490" s="93" t="s">
        <v>147</v>
      </c>
      <c r="B490" s="2" t="s">
        <v>230</v>
      </c>
      <c r="C490" s="2" t="s">
        <v>490</v>
      </c>
      <c r="D490" s="1" t="s">
        <v>146</v>
      </c>
      <c r="E490" s="36">
        <f>919.1</f>
        <v>919.1</v>
      </c>
      <c r="F490" s="36"/>
      <c r="G490" s="36">
        <v>919.1</v>
      </c>
      <c r="H490" s="36"/>
      <c r="I490" s="23"/>
      <c r="K490" s="115"/>
    </row>
    <row r="491" spans="1:11" ht="33" customHeight="1">
      <c r="A491" s="8" t="s">
        <v>95</v>
      </c>
      <c r="B491" s="2" t="s">
        <v>21</v>
      </c>
      <c r="C491" s="2" t="s">
        <v>183</v>
      </c>
      <c r="D491" s="2" t="s">
        <v>157</v>
      </c>
      <c r="E491" s="36">
        <f aca="true" t="shared" si="6" ref="E491:H493">E492</f>
        <v>2184.2</v>
      </c>
      <c r="F491" s="36">
        <f t="shared" si="6"/>
        <v>1772.3</v>
      </c>
      <c r="G491" s="36">
        <f t="shared" si="6"/>
        <v>1298.1</v>
      </c>
      <c r="H491" s="36">
        <f t="shared" si="6"/>
        <v>886.1999999999999</v>
      </c>
      <c r="I491" s="111"/>
      <c r="K491" s="115"/>
    </row>
    <row r="492" spans="1:11" ht="23.25" customHeight="1">
      <c r="A492" s="8" t="s">
        <v>96</v>
      </c>
      <c r="B492" s="2" t="s">
        <v>21</v>
      </c>
      <c r="C492" s="2" t="s">
        <v>226</v>
      </c>
      <c r="D492" s="2" t="s">
        <v>157</v>
      </c>
      <c r="E492" s="36">
        <f>E493+E495+E497</f>
        <v>2184.2</v>
      </c>
      <c r="F492" s="36">
        <f>F493+F495</f>
        <v>1772.3</v>
      </c>
      <c r="G492" s="36">
        <f>G493+G495+G497</f>
        <v>1298.1</v>
      </c>
      <c r="H492" s="36">
        <f>H493+H495</f>
        <v>886.1999999999999</v>
      </c>
      <c r="I492" s="111"/>
      <c r="K492" s="115"/>
    </row>
    <row r="493" spans="1:11" ht="54" customHeight="1">
      <c r="A493" s="8" t="s">
        <v>416</v>
      </c>
      <c r="B493" s="2" t="s">
        <v>21</v>
      </c>
      <c r="C493" s="2" t="s">
        <v>414</v>
      </c>
      <c r="D493" s="2" t="s">
        <v>157</v>
      </c>
      <c r="E493" s="36">
        <f t="shared" si="6"/>
        <v>1719.1</v>
      </c>
      <c r="F493" s="36">
        <f t="shared" si="6"/>
        <v>1719.1</v>
      </c>
      <c r="G493" s="36">
        <f t="shared" si="6"/>
        <v>859.8</v>
      </c>
      <c r="H493" s="36">
        <f t="shared" si="6"/>
        <v>859.8</v>
      </c>
      <c r="I493" s="111"/>
      <c r="K493" s="115"/>
    </row>
    <row r="494" spans="1:11" ht="39.75" customHeight="1">
      <c r="A494" s="17" t="s">
        <v>250</v>
      </c>
      <c r="B494" s="2" t="s">
        <v>21</v>
      </c>
      <c r="C494" s="2" t="s">
        <v>414</v>
      </c>
      <c r="D494" s="1" t="s">
        <v>249</v>
      </c>
      <c r="E494" s="36">
        <f>1719.1</f>
        <v>1719.1</v>
      </c>
      <c r="F494" s="36">
        <f>1719.1</f>
        <v>1719.1</v>
      </c>
      <c r="G494" s="36">
        <v>859.8</v>
      </c>
      <c r="H494" s="36">
        <v>859.8</v>
      </c>
      <c r="I494" s="111"/>
      <c r="K494" s="115"/>
    </row>
    <row r="495" spans="1:11" ht="39.75" customHeight="1">
      <c r="A495" s="8" t="s">
        <v>417</v>
      </c>
      <c r="B495" s="2" t="s">
        <v>21</v>
      </c>
      <c r="C495" s="2" t="s">
        <v>415</v>
      </c>
      <c r="D495" s="2" t="s">
        <v>157</v>
      </c>
      <c r="E495" s="38">
        <f>E496</f>
        <v>53.2</v>
      </c>
      <c r="F495" s="38">
        <f>F496</f>
        <v>53.2</v>
      </c>
      <c r="G495" s="38">
        <f>G496</f>
        <v>26.4</v>
      </c>
      <c r="H495" s="38">
        <f>H496</f>
        <v>26.4</v>
      </c>
      <c r="I495" s="111"/>
      <c r="K495" s="115"/>
    </row>
    <row r="496" spans="1:11" ht="39.75" customHeight="1">
      <c r="A496" s="17" t="s">
        <v>250</v>
      </c>
      <c r="B496" s="2" t="s">
        <v>21</v>
      </c>
      <c r="C496" s="2" t="s">
        <v>415</v>
      </c>
      <c r="D496" s="1" t="s">
        <v>249</v>
      </c>
      <c r="E496" s="38">
        <f>53.2</f>
        <v>53.2</v>
      </c>
      <c r="F496" s="38">
        <f>53.2</f>
        <v>53.2</v>
      </c>
      <c r="G496" s="38">
        <v>26.4</v>
      </c>
      <c r="H496" s="38">
        <v>26.4</v>
      </c>
      <c r="I496" s="111"/>
      <c r="K496" s="115"/>
    </row>
    <row r="497" spans="1:11" ht="41.25" customHeight="1">
      <c r="A497" s="17" t="s">
        <v>485</v>
      </c>
      <c r="B497" s="5" t="s">
        <v>21</v>
      </c>
      <c r="C497" s="5" t="s">
        <v>484</v>
      </c>
      <c r="D497" s="6" t="s">
        <v>157</v>
      </c>
      <c r="E497" s="38">
        <f>E498</f>
        <v>411.9</v>
      </c>
      <c r="F497" s="38"/>
      <c r="G497" s="38">
        <f>G498</f>
        <v>411.9</v>
      </c>
      <c r="H497" s="38"/>
      <c r="I497" s="111"/>
      <c r="K497" s="115"/>
    </row>
    <row r="498" spans="1:11" ht="18" customHeight="1">
      <c r="A498" s="93" t="s">
        <v>147</v>
      </c>
      <c r="B498" s="5" t="s">
        <v>21</v>
      </c>
      <c r="C498" s="5" t="s">
        <v>484</v>
      </c>
      <c r="D498" s="6" t="s">
        <v>146</v>
      </c>
      <c r="E498" s="38">
        <f>411.9</f>
        <v>411.9</v>
      </c>
      <c r="F498" s="38"/>
      <c r="G498" s="38">
        <v>411.9</v>
      </c>
      <c r="H498" s="38"/>
      <c r="I498" s="111"/>
      <c r="K498" s="115"/>
    </row>
    <row r="499" spans="1:11" ht="17.25" customHeight="1">
      <c r="A499" s="14" t="s">
        <v>1</v>
      </c>
      <c r="B499" s="5" t="s">
        <v>113</v>
      </c>
      <c r="C499" s="5" t="s">
        <v>183</v>
      </c>
      <c r="D499" s="5" t="s">
        <v>157</v>
      </c>
      <c r="E499" s="38">
        <f>E510+E500+E519</f>
        <v>18770.200000000004</v>
      </c>
      <c r="F499" s="38">
        <f>F510+F500</f>
        <v>17883.800000000003</v>
      </c>
      <c r="G499" s="38">
        <f>G510+G500+G519</f>
        <v>7212.599999999999</v>
      </c>
      <c r="H499" s="38">
        <f>H510+H500</f>
        <v>6492.8</v>
      </c>
      <c r="I499" s="111"/>
      <c r="K499" s="115"/>
    </row>
    <row r="500" spans="1:11" ht="18" customHeight="1">
      <c r="A500" s="8" t="s">
        <v>196</v>
      </c>
      <c r="B500" s="5" t="s">
        <v>113</v>
      </c>
      <c r="C500" s="2" t="s">
        <v>264</v>
      </c>
      <c r="D500" s="2" t="s">
        <v>157</v>
      </c>
      <c r="E500" s="38">
        <f>E501+E508</f>
        <v>15951.400000000001</v>
      </c>
      <c r="F500" s="38">
        <f>F501</f>
        <v>15203.400000000001</v>
      </c>
      <c r="G500" s="38">
        <f>G501+G508</f>
        <v>6315.9</v>
      </c>
      <c r="H500" s="38">
        <f>H501</f>
        <v>5734.5</v>
      </c>
      <c r="I500" s="111"/>
      <c r="K500" s="115"/>
    </row>
    <row r="501" spans="1:11" ht="25.5">
      <c r="A501" s="8" t="s">
        <v>413</v>
      </c>
      <c r="B501" s="5" t="s">
        <v>113</v>
      </c>
      <c r="C501" s="2" t="s">
        <v>412</v>
      </c>
      <c r="D501" s="2" t="s">
        <v>157</v>
      </c>
      <c r="E501" s="38">
        <f>E504+E502+E503+E505+E506+E507</f>
        <v>15203.400000000001</v>
      </c>
      <c r="F501" s="38">
        <f>F504+F502+F503+F505+F506+F507</f>
        <v>15203.400000000001</v>
      </c>
      <c r="G501" s="38">
        <f>G504+G502+G503+G505+G506+G507</f>
        <v>5734.5</v>
      </c>
      <c r="H501" s="38">
        <f>H504+H502+H503+H505+H506+H507</f>
        <v>5734.5</v>
      </c>
      <c r="I501" s="111"/>
      <c r="K501" s="115"/>
    </row>
    <row r="502" spans="1:11" ht="17.25" customHeight="1">
      <c r="A502" s="25" t="s">
        <v>224</v>
      </c>
      <c r="B502" s="5" t="s">
        <v>113</v>
      </c>
      <c r="C502" s="2" t="s">
        <v>412</v>
      </c>
      <c r="D502" s="2" t="s">
        <v>222</v>
      </c>
      <c r="E502" s="38">
        <f>12504.8+300-246.5</f>
        <v>12558.3</v>
      </c>
      <c r="F502" s="38">
        <f>12504.8+300-246.5</f>
        <v>12558.3</v>
      </c>
      <c r="G502" s="38">
        <v>4619.8</v>
      </c>
      <c r="H502" s="38">
        <v>4619.8</v>
      </c>
      <c r="I502" s="111"/>
      <c r="K502" s="115"/>
    </row>
    <row r="503" spans="1:11" ht="25.5">
      <c r="A503" s="100" t="s">
        <v>125</v>
      </c>
      <c r="B503" s="5" t="s">
        <v>113</v>
      </c>
      <c r="C503" s="2" t="s">
        <v>412</v>
      </c>
      <c r="D503" s="2" t="s">
        <v>223</v>
      </c>
      <c r="E503" s="38">
        <f>1.2+246.5</f>
        <v>247.7</v>
      </c>
      <c r="F503" s="38">
        <f>1.2+246.5</f>
        <v>247.7</v>
      </c>
      <c r="G503" s="38">
        <v>247.7</v>
      </c>
      <c r="H503" s="38">
        <v>247.7</v>
      </c>
      <c r="I503" s="111"/>
      <c r="K503" s="115"/>
    </row>
    <row r="504" spans="1:11" ht="33" customHeight="1">
      <c r="A504" s="10" t="s">
        <v>127</v>
      </c>
      <c r="B504" s="5" t="s">
        <v>113</v>
      </c>
      <c r="C504" s="2" t="s">
        <v>412</v>
      </c>
      <c r="D504" s="2" t="s">
        <v>126</v>
      </c>
      <c r="E504" s="38">
        <f>1722-687.1-84</f>
        <v>950.9000000000001</v>
      </c>
      <c r="F504" s="38">
        <f>1722-687.1-84</f>
        <v>950.9000000000001</v>
      </c>
      <c r="G504" s="38">
        <v>357</v>
      </c>
      <c r="H504" s="38">
        <v>357</v>
      </c>
      <c r="I504" s="111"/>
      <c r="K504" s="115"/>
    </row>
    <row r="505" spans="1:11" ht="30.75" customHeight="1">
      <c r="A505" s="10" t="s">
        <v>24</v>
      </c>
      <c r="B505" s="5" t="s">
        <v>113</v>
      </c>
      <c r="C505" s="2" t="s">
        <v>412</v>
      </c>
      <c r="D505" s="5" t="s">
        <v>23</v>
      </c>
      <c r="E505" s="38">
        <f>3510.2+687.1+84-2867</f>
        <v>1414.3000000000002</v>
      </c>
      <c r="F505" s="38">
        <f>3510.2+687.1+84-2867</f>
        <v>1414.3000000000002</v>
      </c>
      <c r="G505" s="38">
        <v>501.1</v>
      </c>
      <c r="H505" s="38">
        <v>501.1</v>
      </c>
      <c r="I505" s="111"/>
      <c r="K505" s="115"/>
    </row>
    <row r="506" spans="1:11" ht="30.75" customHeight="1">
      <c r="A506" s="47" t="s">
        <v>309</v>
      </c>
      <c r="B506" s="5" t="s">
        <v>113</v>
      </c>
      <c r="C506" s="2" t="s">
        <v>412</v>
      </c>
      <c r="D506" s="2" t="s">
        <v>313</v>
      </c>
      <c r="E506" s="38">
        <f>30.1-15.1</f>
        <v>15.000000000000002</v>
      </c>
      <c r="F506" s="38">
        <f>30.1-15.1</f>
        <v>15.000000000000002</v>
      </c>
      <c r="G506" s="38">
        <v>4</v>
      </c>
      <c r="H506" s="38">
        <v>4</v>
      </c>
      <c r="I506" s="111"/>
      <c r="K506" s="115"/>
    </row>
    <row r="507" spans="1:11" ht="21.75" customHeight="1">
      <c r="A507" s="100" t="s">
        <v>310</v>
      </c>
      <c r="B507" s="5" t="s">
        <v>113</v>
      </c>
      <c r="C507" s="2" t="s">
        <v>412</v>
      </c>
      <c r="D507" s="2" t="s">
        <v>314</v>
      </c>
      <c r="E507" s="38">
        <f>2.1+15.1</f>
        <v>17.2</v>
      </c>
      <c r="F507" s="38">
        <f>2.1+15.1</f>
        <v>17.2</v>
      </c>
      <c r="G507" s="38">
        <v>4.9</v>
      </c>
      <c r="H507" s="38">
        <v>4.9</v>
      </c>
      <c r="I507" s="111"/>
      <c r="K507" s="115"/>
    </row>
    <row r="508" spans="1:11" ht="27" customHeight="1">
      <c r="A508" s="100" t="s">
        <v>100</v>
      </c>
      <c r="B508" s="5" t="s">
        <v>113</v>
      </c>
      <c r="C508" s="5" t="s">
        <v>54</v>
      </c>
      <c r="D508" s="5" t="s">
        <v>157</v>
      </c>
      <c r="E508" s="38">
        <f>E509</f>
        <v>748</v>
      </c>
      <c r="F508" s="38"/>
      <c r="G508" s="38">
        <f>G509</f>
        <v>581.4</v>
      </c>
      <c r="H508" s="38"/>
      <c r="I508" s="111"/>
      <c r="K508" s="115"/>
    </row>
    <row r="509" spans="1:11" ht="25.5" customHeight="1">
      <c r="A509" s="100" t="s">
        <v>125</v>
      </c>
      <c r="B509" s="5" t="s">
        <v>113</v>
      </c>
      <c r="C509" s="5" t="s">
        <v>54</v>
      </c>
      <c r="D509" s="5" t="s">
        <v>223</v>
      </c>
      <c r="E509" s="38">
        <f>748</f>
        <v>748</v>
      </c>
      <c r="F509" s="38"/>
      <c r="G509" s="38">
        <v>581.4</v>
      </c>
      <c r="H509" s="38"/>
      <c r="I509" s="111"/>
      <c r="K509" s="115"/>
    </row>
    <row r="510" spans="1:11" ht="25.5">
      <c r="A510" s="8" t="s">
        <v>405</v>
      </c>
      <c r="B510" s="5" t="s">
        <v>113</v>
      </c>
      <c r="C510" s="5" t="s">
        <v>219</v>
      </c>
      <c r="D510" s="5" t="s">
        <v>157</v>
      </c>
      <c r="E510" s="38">
        <f>E511+E514</f>
        <v>2680.4</v>
      </c>
      <c r="F510" s="38">
        <f>F511+F514</f>
        <v>2680.4</v>
      </c>
      <c r="G510" s="38">
        <f>G511+G514</f>
        <v>758.3000000000001</v>
      </c>
      <c r="H510" s="38">
        <f>H511+H514</f>
        <v>758.3000000000001</v>
      </c>
      <c r="I510" s="111"/>
      <c r="K510" s="115"/>
    </row>
    <row r="511" spans="1:11" ht="46.5" customHeight="1">
      <c r="A511" s="8" t="s">
        <v>378</v>
      </c>
      <c r="B511" s="5" t="s">
        <v>113</v>
      </c>
      <c r="C511" s="5" t="s">
        <v>379</v>
      </c>
      <c r="D511" s="5" t="s">
        <v>157</v>
      </c>
      <c r="E511" s="38">
        <f>E512+E513</f>
        <v>2354.3</v>
      </c>
      <c r="F511" s="38">
        <f>F512+F513</f>
        <v>2354.3</v>
      </c>
      <c r="G511" s="38">
        <f>G512+G513</f>
        <v>690.7</v>
      </c>
      <c r="H511" s="38">
        <f>H512+H513</f>
        <v>690.7</v>
      </c>
      <c r="I511" s="111"/>
      <c r="K511" s="115"/>
    </row>
    <row r="512" spans="1:11" ht="21.75" customHeight="1">
      <c r="A512" s="25" t="s">
        <v>224</v>
      </c>
      <c r="B512" s="5" t="s">
        <v>113</v>
      </c>
      <c r="C512" s="5" t="s">
        <v>379</v>
      </c>
      <c r="D512" s="1" t="s">
        <v>308</v>
      </c>
      <c r="E512" s="38">
        <f>2196.3-1.8+158</f>
        <v>2352.5</v>
      </c>
      <c r="F512" s="38">
        <f>2196.3-1.8+158</f>
        <v>2352.5</v>
      </c>
      <c r="G512" s="38">
        <v>690.7</v>
      </c>
      <c r="H512" s="38">
        <v>690.7</v>
      </c>
      <c r="I512" s="111"/>
      <c r="K512" s="115"/>
    </row>
    <row r="513" spans="1:11" ht="27.75" customHeight="1">
      <c r="A513" s="100" t="s">
        <v>125</v>
      </c>
      <c r="B513" s="5" t="s">
        <v>113</v>
      </c>
      <c r="C513" s="5" t="s">
        <v>379</v>
      </c>
      <c r="D513" s="6" t="s">
        <v>354</v>
      </c>
      <c r="E513" s="38">
        <f>1.8</f>
        <v>1.8</v>
      </c>
      <c r="F513" s="38">
        <f>1.8</f>
        <v>1.8</v>
      </c>
      <c r="G513" s="38">
        <v>0</v>
      </c>
      <c r="H513" s="38">
        <v>0</v>
      </c>
      <c r="I513" s="111"/>
      <c r="K513" s="115"/>
    </row>
    <row r="514" spans="1:11" ht="56.25" customHeight="1">
      <c r="A514" s="8" t="s">
        <v>380</v>
      </c>
      <c r="B514" s="5" t="s">
        <v>113</v>
      </c>
      <c r="C514" s="5" t="s">
        <v>381</v>
      </c>
      <c r="D514" s="5" t="s">
        <v>157</v>
      </c>
      <c r="E514" s="38">
        <f>E515+E516+E517+E518</f>
        <v>326.1</v>
      </c>
      <c r="F514" s="38">
        <f>F515+F516+F517+F518</f>
        <v>326.1</v>
      </c>
      <c r="G514" s="38">
        <f>G515+G516+G517+G518</f>
        <v>67.6</v>
      </c>
      <c r="H514" s="38">
        <f>H515+H516+H517+H518</f>
        <v>67.6</v>
      </c>
      <c r="I514" s="111"/>
      <c r="K514" s="115"/>
    </row>
    <row r="515" spans="1:11" ht="28.5" customHeight="1">
      <c r="A515" s="10" t="s">
        <v>127</v>
      </c>
      <c r="B515" s="5" t="s">
        <v>113</v>
      </c>
      <c r="C515" s="5" t="s">
        <v>381</v>
      </c>
      <c r="D515" s="1" t="s">
        <v>126</v>
      </c>
      <c r="E515" s="38">
        <f>239.7-60.1</f>
        <v>179.6</v>
      </c>
      <c r="F515" s="38">
        <f>239.7-60.1</f>
        <v>179.6</v>
      </c>
      <c r="G515" s="38">
        <v>57.6</v>
      </c>
      <c r="H515" s="38">
        <v>57.6</v>
      </c>
      <c r="I515" s="111"/>
      <c r="K515" s="115"/>
    </row>
    <row r="516" spans="1:11" ht="27.75" customHeight="1">
      <c r="A516" s="10" t="s">
        <v>24</v>
      </c>
      <c r="B516" s="5" t="s">
        <v>113</v>
      </c>
      <c r="C516" s="5" t="s">
        <v>381</v>
      </c>
      <c r="D516" s="1" t="s">
        <v>23</v>
      </c>
      <c r="E516" s="38">
        <f>65.4+60.1</f>
        <v>125.5</v>
      </c>
      <c r="F516" s="38">
        <f>65.4+60.1</f>
        <v>125.5</v>
      </c>
      <c r="G516" s="38">
        <v>8.1</v>
      </c>
      <c r="H516" s="38">
        <v>8.1</v>
      </c>
      <c r="I516" s="111"/>
      <c r="K516" s="115"/>
    </row>
    <row r="517" spans="1:11" ht="27.75" customHeight="1">
      <c r="A517" s="47" t="s">
        <v>309</v>
      </c>
      <c r="B517" s="5" t="s">
        <v>113</v>
      </c>
      <c r="C517" s="5" t="s">
        <v>381</v>
      </c>
      <c r="D517" s="1" t="s">
        <v>313</v>
      </c>
      <c r="E517" s="38">
        <f>6</f>
        <v>6</v>
      </c>
      <c r="F517" s="38">
        <f>6</f>
        <v>6</v>
      </c>
      <c r="G517" s="38">
        <v>0.1</v>
      </c>
      <c r="H517" s="38">
        <v>0.1</v>
      </c>
      <c r="I517" s="111"/>
      <c r="K517" s="115"/>
    </row>
    <row r="518" spans="1:11" ht="27.75" customHeight="1">
      <c r="A518" s="100" t="s">
        <v>310</v>
      </c>
      <c r="B518" s="5" t="s">
        <v>113</v>
      </c>
      <c r="C518" s="5" t="s">
        <v>381</v>
      </c>
      <c r="D518" s="1" t="s">
        <v>314</v>
      </c>
      <c r="E518" s="38">
        <f>15</f>
        <v>15</v>
      </c>
      <c r="F518" s="38">
        <f>15</f>
        <v>15</v>
      </c>
      <c r="G518" s="38">
        <v>1.8</v>
      </c>
      <c r="H518" s="38">
        <v>1.8</v>
      </c>
      <c r="I518" s="111"/>
      <c r="K518" s="115"/>
    </row>
    <row r="519" spans="1:11" ht="21.75" customHeight="1">
      <c r="A519" s="17" t="s">
        <v>35</v>
      </c>
      <c r="B519" s="5" t="s">
        <v>113</v>
      </c>
      <c r="C519" s="5" t="s">
        <v>36</v>
      </c>
      <c r="D519" s="5" t="s">
        <v>157</v>
      </c>
      <c r="E519" s="33">
        <f>E520</f>
        <v>138.4</v>
      </c>
      <c r="F519" s="36"/>
      <c r="G519" s="33">
        <f>G520</f>
        <v>138.4</v>
      </c>
      <c r="H519" s="36"/>
      <c r="I519" s="111"/>
      <c r="K519" s="115"/>
    </row>
    <row r="520" spans="1:11" ht="66.75" customHeight="1">
      <c r="A520" s="92" t="s">
        <v>4</v>
      </c>
      <c r="B520" s="5" t="s">
        <v>113</v>
      </c>
      <c r="C520" s="50" t="s">
        <v>5</v>
      </c>
      <c r="D520" s="50" t="s">
        <v>157</v>
      </c>
      <c r="E520" s="33">
        <f>E521</f>
        <v>138.4</v>
      </c>
      <c r="F520" s="36"/>
      <c r="G520" s="33">
        <f>G521</f>
        <v>138.4</v>
      </c>
      <c r="H520" s="36"/>
      <c r="I520" s="111"/>
      <c r="K520" s="115"/>
    </row>
    <row r="521" spans="1:11" ht="27.75" customHeight="1">
      <c r="A521" s="10" t="s">
        <v>24</v>
      </c>
      <c r="B521" s="5" t="s">
        <v>113</v>
      </c>
      <c r="C521" s="50" t="s">
        <v>5</v>
      </c>
      <c r="D521" s="50" t="s">
        <v>23</v>
      </c>
      <c r="E521" s="33">
        <f>138.4</f>
        <v>138.4</v>
      </c>
      <c r="F521" s="36"/>
      <c r="G521" s="33">
        <v>138.4</v>
      </c>
      <c r="H521" s="36"/>
      <c r="I521" s="111"/>
      <c r="K521" s="115"/>
    </row>
    <row r="522" spans="1:11" ht="19.5" customHeight="1">
      <c r="A522" s="68" t="s">
        <v>177</v>
      </c>
      <c r="B522" s="69" t="s">
        <v>231</v>
      </c>
      <c r="C522" s="69" t="s">
        <v>183</v>
      </c>
      <c r="D522" s="69" t="s">
        <v>157</v>
      </c>
      <c r="E522" s="70">
        <f>E523+E527+E558</f>
        <v>263264</v>
      </c>
      <c r="F522" s="70">
        <f>F523+F527+F558</f>
        <v>243789.8</v>
      </c>
      <c r="G522" s="70">
        <f>G523+G527+G558</f>
        <v>57924.299999999996</v>
      </c>
      <c r="H522" s="70">
        <f>H523+H527+H558</f>
        <v>53215.2</v>
      </c>
      <c r="I522" s="88">
        <f>G522/E522*100</f>
        <v>22.002362647380576</v>
      </c>
      <c r="K522" s="115"/>
    </row>
    <row r="523" spans="1:11" ht="15.75" customHeight="1">
      <c r="A523" s="11" t="s">
        <v>232</v>
      </c>
      <c r="B523" s="3">
        <v>1001</v>
      </c>
      <c r="C523" s="2" t="s">
        <v>183</v>
      </c>
      <c r="D523" s="1" t="s">
        <v>157</v>
      </c>
      <c r="E523" s="34">
        <f>E524</f>
        <v>8989.1</v>
      </c>
      <c r="F523" s="34"/>
      <c r="G523" s="34">
        <f>G524</f>
        <v>3520.8</v>
      </c>
      <c r="H523" s="34"/>
      <c r="I523" s="111"/>
      <c r="K523" s="115"/>
    </row>
    <row r="524" spans="1:11" ht="25.5">
      <c r="A524" s="8" t="s">
        <v>286</v>
      </c>
      <c r="B524" s="7">
        <v>1001</v>
      </c>
      <c r="C524" s="5" t="s">
        <v>287</v>
      </c>
      <c r="D524" s="6" t="s">
        <v>157</v>
      </c>
      <c r="E524" s="35">
        <f>E525</f>
        <v>8989.1</v>
      </c>
      <c r="F524" s="35"/>
      <c r="G524" s="35">
        <f>G525</f>
        <v>3520.8</v>
      </c>
      <c r="H524" s="35"/>
      <c r="I524" s="111"/>
      <c r="K524" s="115"/>
    </row>
    <row r="525" spans="1:11" ht="38.25">
      <c r="A525" s="8" t="s">
        <v>51</v>
      </c>
      <c r="B525" s="7">
        <v>1001</v>
      </c>
      <c r="C525" s="5" t="s">
        <v>288</v>
      </c>
      <c r="D525" s="6" t="s">
        <v>157</v>
      </c>
      <c r="E525" s="35">
        <f>E526</f>
        <v>8989.1</v>
      </c>
      <c r="F525" s="35"/>
      <c r="G525" s="35">
        <f>G526</f>
        <v>3520.8</v>
      </c>
      <c r="H525" s="35"/>
      <c r="I525" s="111"/>
      <c r="K525" s="115"/>
    </row>
    <row r="526" spans="1:11" ht="18.75" customHeight="1">
      <c r="A526" s="8" t="s">
        <v>140</v>
      </c>
      <c r="B526" s="7">
        <v>1001</v>
      </c>
      <c r="C526" s="5" t="s">
        <v>288</v>
      </c>
      <c r="D526" s="6" t="s">
        <v>139</v>
      </c>
      <c r="E526" s="35">
        <f>8934.4+54.7</f>
        <v>8989.1</v>
      </c>
      <c r="F526" s="35"/>
      <c r="G526" s="35">
        <v>3520.8</v>
      </c>
      <c r="H526" s="35"/>
      <c r="I526" s="111"/>
      <c r="K526" s="115"/>
    </row>
    <row r="527" spans="1:11" ht="15" customHeight="1">
      <c r="A527" s="22" t="s">
        <v>234</v>
      </c>
      <c r="B527" s="2" t="s">
        <v>235</v>
      </c>
      <c r="C527" s="2" t="s">
        <v>183</v>
      </c>
      <c r="D527" s="2" t="s">
        <v>157</v>
      </c>
      <c r="E527" s="36">
        <f>E534+E553+E528+E544</f>
        <v>170797.80000000002</v>
      </c>
      <c r="F527" s="36">
        <f>F534+F553+F528</f>
        <v>160548.9</v>
      </c>
      <c r="G527" s="36">
        <f>G534+G553+G528+G544</f>
        <v>35251.399999999994</v>
      </c>
      <c r="H527" s="36">
        <f>H534+H553+H528</f>
        <v>34063.1</v>
      </c>
      <c r="I527" s="111"/>
      <c r="K527" s="115"/>
    </row>
    <row r="528" spans="1:11" ht="17.25" customHeight="1">
      <c r="A528" s="13" t="s">
        <v>120</v>
      </c>
      <c r="B528" s="2" t="s">
        <v>235</v>
      </c>
      <c r="C528" s="2" t="s">
        <v>121</v>
      </c>
      <c r="D528" s="2" t="s">
        <v>157</v>
      </c>
      <c r="E528" s="36">
        <f>E529+E531</f>
        <v>13203.6</v>
      </c>
      <c r="F528" s="36">
        <f>F529</f>
        <v>12832.4</v>
      </c>
      <c r="G528" s="36">
        <f>G529+G531</f>
        <v>167.1</v>
      </c>
      <c r="H528" s="36">
        <f>H529</f>
        <v>0</v>
      </c>
      <c r="I528" s="111"/>
      <c r="K528" s="115"/>
    </row>
    <row r="529" spans="1:11" ht="30" customHeight="1">
      <c r="A529" s="13" t="s">
        <v>134</v>
      </c>
      <c r="B529" s="2" t="s">
        <v>235</v>
      </c>
      <c r="C529" s="2" t="s">
        <v>135</v>
      </c>
      <c r="D529" s="2" t="s">
        <v>157</v>
      </c>
      <c r="E529" s="36">
        <f>E530</f>
        <v>12832.4</v>
      </c>
      <c r="F529" s="36">
        <f>F530</f>
        <v>12832.4</v>
      </c>
      <c r="G529" s="36">
        <f>G530</f>
        <v>0</v>
      </c>
      <c r="H529" s="36">
        <f>H530</f>
        <v>0</v>
      </c>
      <c r="I529" s="111"/>
      <c r="K529" s="115"/>
    </row>
    <row r="530" spans="1:11" ht="18" customHeight="1">
      <c r="A530" s="8" t="s">
        <v>140</v>
      </c>
      <c r="B530" s="2" t="s">
        <v>235</v>
      </c>
      <c r="C530" s="2" t="s">
        <v>135</v>
      </c>
      <c r="D530" s="2" t="s">
        <v>139</v>
      </c>
      <c r="E530" s="36">
        <f>12832.4</f>
        <v>12832.4</v>
      </c>
      <c r="F530" s="36">
        <f>12832.4</f>
        <v>12832.4</v>
      </c>
      <c r="G530" s="36">
        <v>0</v>
      </c>
      <c r="H530" s="36">
        <v>0</v>
      </c>
      <c r="I530" s="111"/>
      <c r="K530" s="115"/>
    </row>
    <row r="531" spans="1:11" ht="33.75" customHeight="1">
      <c r="A531" s="102" t="s">
        <v>433</v>
      </c>
      <c r="B531" s="2" t="s">
        <v>235</v>
      </c>
      <c r="C531" s="2" t="s">
        <v>434</v>
      </c>
      <c r="D531" s="2" t="s">
        <v>157</v>
      </c>
      <c r="E531" s="36">
        <f>E532</f>
        <v>371.2</v>
      </c>
      <c r="F531" s="36"/>
      <c r="G531" s="36">
        <f>G532</f>
        <v>167.1</v>
      </c>
      <c r="H531" s="36"/>
      <c r="I531" s="111"/>
      <c r="K531" s="115"/>
    </row>
    <row r="532" spans="1:11" ht="57" customHeight="1">
      <c r="A532" s="8" t="s">
        <v>435</v>
      </c>
      <c r="B532" s="2" t="s">
        <v>235</v>
      </c>
      <c r="C532" s="2" t="s">
        <v>436</v>
      </c>
      <c r="D532" s="2" t="s">
        <v>157</v>
      </c>
      <c r="E532" s="36">
        <f>E533</f>
        <v>371.2</v>
      </c>
      <c r="F532" s="36"/>
      <c r="G532" s="36">
        <f>G533</f>
        <v>167.1</v>
      </c>
      <c r="H532" s="36"/>
      <c r="I532" s="111"/>
      <c r="K532" s="115"/>
    </row>
    <row r="533" spans="1:11" ht="21" customHeight="1">
      <c r="A533" s="44" t="s">
        <v>347</v>
      </c>
      <c r="B533" s="2" t="s">
        <v>235</v>
      </c>
      <c r="C533" s="2" t="s">
        <v>436</v>
      </c>
      <c r="D533" s="2" t="s">
        <v>346</v>
      </c>
      <c r="E533" s="36">
        <f>371.2</f>
        <v>371.2</v>
      </c>
      <c r="F533" s="36"/>
      <c r="G533" s="36">
        <v>167.1</v>
      </c>
      <c r="H533" s="36"/>
      <c r="I533" s="111"/>
      <c r="K533" s="115"/>
    </row>
    <row r="534" spans="1:11" ht="18" customHeight="1">
      <c r="A534" s="8" t="s">
        <v>289</v>
      </c>
      <c r="B534" s="2" t="s">
        <v>235</v>
      </c>
      <c r="C534" s="2" t="s">
        <v>237</v>
      </c>
      <c r="D534" s="2" t="s">
        <v>157</v>
      </c>
      <c r="E534" s="36">
        <f>E542+E540+E538+E535</f>
        <v>148121.6</v>
      </c>
      <c r="F534" s="36">
        <f>F542+F540+F538</f>
        <v>147716.5</v>
      </c>
      <c r="G534" s="36">
        <f>G542+G540+G538+G535</f>
        <v>34328.2</v>
      </c>
      <c r="H534" s="36">
        <f>H542+H540+H538</f>
        <v>34063.1</v>
      </c>
      <c r="I534" s="111"/>
      <c r="K534" s="115"/>
    </row>
    <row r="535" spans="1:11" ht="40.5" customHeight="1">
      <c r="A535" s="8" t="s">
        <v>423</v>
      </c>
      <c r="B535" s="2" t="s">
        <v>235</v>
      </c>
      <c r="C535" s="2" t="s">
        <v>348</v>
      </c>
      <c r="D535" s="2" t="s">
        <v>157</v>
      </c>
      <c r="E535" s="36">
        <f>E536+E537</f>
        <v>405.1</v>
      </c>
      <c r="F535" s="36"/>
      <c r="G535" s="36">
        <f>G536+G537</f>
        <v>265.1</v>
      </c>
      <c r="H535" s="36"/>
      <c r="I535" s="111"/>
      <c r="K535" s="115"/>
    </row>
    <row r="536" spans="1:11" ht="21" customHeight="1">
      <c r="A536" s="8" t="s">
        <v>350</v>
      </c>
      <c r="B536" s="2" t="s">
        <v>235</v>
      </c>
      <c r="C536" s="2" t="s">
        <v>348</v>
      </c>
      <c r="D536" s="2" t="s">
        <v>349</v>
      </c>
      <c r="E536" s="36">
        <f>400-59.9-0.1</f>
        <v>340</v>
      </c>
      <c r="F536" s="36"/>
      <c r="G536" s="36">
        <v>200</v>
      </c>
      <c r="H536" s="36"/>
      <c r="I536" s="111"/>
      <c r="K536" s="115"/>
    </row>
    <row r="537" spans="1:11" ht="27.75" customHeight="1">
      <c r="A537" s="8" t="s">
        <v>142</v>
      </c>
      <c r="B537" s="2" t="s">
        <v>235</v>
      </c>
      <c r="C537" s="2" t="s">
        <v>348</v>
      </c>
      <c r="D537" s="2" t="s">
        <v>141</v>
      </c>
      <c r="E537" s="36">
        <v>65.1</v>
      </c>
      <c r="F537" s="36"/>
      <c r="G537" s="36">
        <v>65.1</v>
      </c>
      <c r="H537" s="36"/>
      <c r="I537" s="111"/>
      <c r="K537" s="115"/>
    </row>
    <row r="538" spans="1:11" ht="79.5" customHeight="1">
      <c r="A538" s="41" t="s">
        <v>422</v>
      </c>
      <c r="B538" s="2" t="s">
        <v>235</v>
      </c>
      <c r="C538" s="2" t="s">
        <v>132</v>
      </c>
      <c r="D538" s="2" t="s">
        <v>157</v>
      </c>
      <c r="E538" s="36">
        <f>E539</f>
        <v>10552</v>
      </c>
      <c r="F538" s="36">
        <f>F539</f>
        <v>10552</v>
      </c>
      <c r="G538" s="36">
        <f>G539</f>
        <v>0</v>
      </c>
      <c r="H538" s="36">
        <f>H539</f>
        <v>0</v>
      </c>
      <c r="I538" s="111"/>
      <c r="K538" s="115"/>
    </row>
    <row r="539" spans="1:11" ht="27.75" customHeight="1">
      <c r="A539" s="8" t="s">
        <v>140</v>
      </c>
      <c r="B539" s="2" t="s">
        <v>235</v>
      </c>
      <c r="C539" s="2" t="s">
        <v>132</v>
      </c>
      <c r="D539" s="2" t="s">
        <v>139</v>
      </c>
      <c r="E539" s="36">
        <v>10552</v>
      </c>
      <c r="F539" s="36">
        <v>10552</v>
      </c>
      <c r="G539" s="36">
        <v>0</v>
      </c>
      <c r="H539" s="36"/>
      <c r="I539" s="111"/>
      <c r="K539" s="115"/>
    </row>
    <row r="540" spans="1:11" ht="82.5" customHeight="1">
      <c r="A540" s="41" t="s">
        <v>317</v>
      </c>
      <c r="B540" s="2" t="s">
        <v>235</v>
      </c>
      <c r="C540" s="2" t="s">
        <v>119</v>
      </c>
      <c r="D540" s="2" t="s">
        <v>157</v>
      </c>
      <c r="E540" s="36">
        <f>E541</f>
        <v>32564.7</v>
      </c>
      <c r="F540" s="36">
        <f>F541</f>
        <v>32564.7</v>
      </c>
      <c r="G540" s="36">
        <f>G541</f>
        <v>0</v>
      </c>
      <c r="H540" s="36">
        <f>H541</f>
        <v>0</v>
      </c>
      <c r="I540" s="111"/>
      <c r="K540" s="115"/>
    </row>
    <row r="541" spans="1:11" ht="21" customHeight="1">
      <c r="A541" s="8" t="s">
        <v>140</v>
      </c>
      <c r="B541" s="2" t="s">
        <v>235</v>
      </c>
      <c r="C541" s="2" t="s">
        <v>119</v>
      </c>
      <c r="D541" s="2" t="s">
        <v>139</v>
      </c>
      <c r="E541" s="36">
        <f>24651+7913.7</f>
        <v>32564.7</v>
      </c>
      <c r="F541" s="36">
        <f>24651+7913.7</f>
        <v>32564.7</v>
      </c>
      <c r="G541" s="36">
        <v>0</v>
      </c>
      <c r="H541" s="36"/>
      <c r="I541" s="111"/>
      <c r="K541" s="115"/>
    </row>
    <row r="542" spans="1:11" ht="42" customHeight="1">
      <c r="A542" s="8" t="s">
        <v>319</v>
      </c>
      <c r="B542" s="2" t="s">
        <v>235</v>
      </c>
      <c r="C542" s="2" t="s">
        <v>383</v>
      </c>
      <c r="D542" s="2" t="s">
        <v>157</v>
      </c>
      <c r="E542" s="36">
        <f>E543</f>
        <v>104599.8</v>
      </c>
      <c r="F542" s="36">
        <f>F543</f>
        <v>104599.8</v>
      </c>
      <c r="G542" s="36">
        <f>G543</f>
        <v>34063.1</v>
      </c>
      <c r="H542" s="36">
        <f>H543</f>
        <v>34063.1</v>
      </c>
      <c r="I542" s="111"/>
      <c r="K542" s="115"/>
    </row>
    <row r="543" spans="1:11" ht="30.75" customHeight="1">
      <c r="A543" s="8" t="s">
        <v>142</v>
      </c>
      <c r="B543" s="2" t="s">
        <v>235</v>
      </c>
      <c r="C543" s="2" t="s">
        <v>383</v>
      </c>
      <c r="D543" s="2" t="s">
        <v>141</v>
      </c>
      <c r="E543" s="36">
        <f>104596+3.8</f>
        <v>104599.8</v>
      </c>
      <c r="F543" s="36">
        <f>104596+3.8</f>
        <v>104599.8</v>
      </c>
      <c r="G543" s="36">
        <v>34063.1</v>
      </c>
      <c r="H543" s="36">
        <v>34063.1</v>
      </c>
      <c r="I543" s="111"/>
      <c r="K543" s="115"/>
    </row>
    <row r="544" spans="1:11" ht="18" customHeight="1">
      <c r="A544" s="8" t="s">
        <v>122</v>
      </c>
      <c r="B544" s="2" t="s">
        <v>235</v>
      </c>
      <c r="C544" s="2" t="s">
        <v>123</v>
      </c>
      <c r="D544" s="2" t="s">
        <v>157</v>
      </c>
      <c r="E544" s="36">
        <f>E545+E550</f>
        <v>574.2</v>
      </c>
      <c r="F544" s="36"/>
      <c r="G544" s="36">
        <f>G545+G550</f>
        <v>258.5</v>
      </c>
      <c r="H544" s="36"/>
      <c r="I544" s="111"/>
      <c r="K544" s="115"/>
    </row>
    <row r="545" spans="1:11" ht="106.5" customHeight="1">
      <c r="A545" s="58" t="s">
        <v>406</v>
      </c>
      <c r="B545" s="2" t="s">
        <v>235</v>
      </c>
      <c r="C545" s="2" t="s">
        <v>124</v>
      </c>
      <c r="D545" s="2" t="s">
        <v>157</v>
      </c>
      <c r="E545" s="36">
        <f>E547</f>
        <v>0</v>
      </c>
      <c r="F545" s="36"/>
      <c r="G545" s="36">
        <f>G547</f>
        <v>0</v>
      </c>
      <c r="H545" s="36"/>
      <c r="I545" s="111"/>
      <c r="K545" s="115"/>
    </row>
    <row r="546" spans="1:11" ht="42.75" customHeight="1">
      <c r="A546" s="58" t="s">
        <v>408</v>
      </c>
      <c r="B546" s="2" t="s">
        <v>235</v>
      </c>
      <c r="C546" s="2" t="s">
        <v>407</v>
      </c>
      <c r="D546" s="2" t="s">
        <v>157</v>
      </c>
      <c r="E546" s="36"/>
      <c r="F546" s="36"/>
      <c r="G546" s="36"/>
      <c r="H546" s="36"/>
      <c r="I546" s="111"/>
      <c r="K546" s="115"/>
    </row>
    <row r="547" spans="1:11" ht="21.75" customHeight="1">
      <c r="A547" s="44" t="s">
        <v>347</v>
      </c>
      <c r="B547" s="2" t="s">
        <v>235</v>
      </c>
      <c r="C547" s="2" t="s">
        <v>407</v>
      </c>
      <c r="D547" s="2" t="s">
        <v>346</v>
      </c>
      <c r="E547" s="36">
        <v>0</v>
      </c>
      <c r="F547" s="36"/>
      <c r="G547" s="36">
        <v>0</v>
      </c>
      <c r="H547" s="36"/>
      <c r="I547" s="111"/>
      <c r="K547" s="115"/>
    </row>
    <row r="548" spans="1:11" ht="33" customHeight="1">
      <c r="A548" s="58" t="s">
        <v>410</v>
      </c>
      <c r="B548" s="2" t="s">
        <v>235</v>
      </c>
      <c r="C548" s="2" t="s">
        <v>409</v>
      </c>
      <c r="D548" s="2" t="s">
        <v>157</v>
      </c>
      <c r="E548" s="36"/>
      <c r="F548" s="36"/>
      <c r="G548" s="36"/>
      <c r="H548" s="36"/>
      <c r="I548" s="111"/>
      <c r="K548" s="115"/>
    </row>
    <row r="549" spans="1:11" ht="23.25" customHeight="1">
      <c r="A549" s="44" t="s">
        <v>347</v>
      </c>
      <c r="B549" s="2" t="s">
        <v>235</v>
      </c>
      <c r="C549" s="2" t="s">
        <v>409</v>
      </c>
      <c r="D549" s="2" t="s">
        <v>346</v>
      </c>
      <c r="E549" s="36"/>
      <c r="F549" s="36"/>
      <c r="G549" s="36"/>
      <c r="H549" s="36"/>
      <c r="I549" s="111"/>
      <c r="K549" s="115"/>
    </row>
    <row r="550" spans="1:11" ht="28.5" customHeight="1">
      <c r="A550" s="102" t="s">
        <v>438</v>
      </c>
      <c r="B550" s="45" t="s">
        <v>235</v>
      </c>
      <c r="C550" s="45" t="s">
        <v>437</v>
      </c>
      <c r="D550" s="45" t="s">
        <v>157</v>
      </c>
      <c r="E550" s="36">
        <f>E551</f>
        <v>574.2</v>
      </c>
      <c r="F550" s="36"/>
      <c r="G550" s="36">
        <f>G551</f>
        <v>258.5</v>
      </c>
      <c r="H550" s="36"/>
      <c r="I550" s="111"/>
      <c r="K550" s="115"/>
    </row>
    <row r="551" spans="1:11" ht="42" customHeight="1">
      <c r="A551" s="8" t="s">
        <v>439</v>
      </c>
      <c r="B551" s="45" t="s">
        <v>235</v>
      </c>
      <c r="C551" s="45" t="s">
        <v>440</v>
      </c>
      <c r="D551" s="45" t="s">
        <v>157</v>
      </c>
      <c r="E551" s="36">
        <f>E552</f>
        <v>574.2</v>
      </c>
      <c r="F551" s="36"/>
      <c r="G551" s="36">
        <f>G552</f>
        <v>258.5</v>
      </c>
      <c r="H551" s="36"/>
      <c r="I551" s="111"/>
      <c r="K551" s="115"/>
    </row>
    <row r="552" spans="1:11" ht="21" customHeight="1">
      <c r="A552" s="44" t="s">
        <v>347</v>
      </c>
      <c r="B552" s="45" t="s">
        <v>235</v>
      </c>
      <c r="C552" s="45" t="s">
        <v>501</v>
      </c>
      <c r="D552" s="45" t="s">
        <v>346</v>
      </c>
      <c r="E552" s="36">
        <f>574.2</f>
        <v>574.2</v>
      </c>
      <c r="F552" s="36"/>
      <c r="G552" s="36">
        <f>258.5</f>
        <v>258.5</v>
      </c>
      <c r="H552" s="36"/>
      <c r="I552" s="111"/>
      <c r="K552" s="115"/>
    </row>
    <row r="553" spans="1:11" ht="24" customHeight="1">
      <c r="A553" s="8" t="s">
        <v>35</v>
      </c>
      <c r="B553" s="2" t="s">
        <v>235</v>
      </c>
      <c r="C553" s="2" t="s">
        <v>36</v>
      </c>
      <c r="D553" s="2" t="s">
        <v>157</v>
      </c>
      <c r="E553" s="36">
        <f>E554+E556</f>
        <v>8898.400000000001</v>
      </c>
      <c r="F553" s="36"/>
      <c r="G553" s="36">
        <f>G554+G556</f>
        <v>497.6</v>
      </c>
      <c r="H553" s="36"/>
      <c r="I553" s="111"/>
      <c r="K553" s="115"/>
    </row>
    <row r="554" spans="1:11" ht="59.25" customHeight="1">
      <c r="A554" s="46" t="s">
        <v>333</v>
      </c>
      <c r="B554" s="2" t="s">
        <v>235</v>
      </c>
      <c r="C554" s="2" t="s">
        <v>82</v>
      </c>
      <c r="D554" s="2" t="s">
        <v>157</v>
      </c>
      <c r="E554" s="36">
        <f>E555</f>
        <v>4147.200000000001</v>
      </c>
      <c r="F554" s="36"/>
      <c r="G554" s="36">
        <f>G555</f>
        <v>0</v>
      </c>
      <c r="H554" s="36"/>
      <c r="I554" s="111"/>
      <c r="K554" s="115"/>
    </row>
    <row r="555" spans="1:11" ht="41.25" customHeight="1">
      <c r="A555" s="44" t="s">
        <v>455</v>
      </c>
      <c r="B555" s="2" t="s">
        <v>235</v>
      </c>
      <c r="C555" s="2" t="s">
        <v>82</v>
      </c>
      <c r="D555" s="2" t="s">
        <v>346</v>
      </c>
      <c r="E555" s="36">
        <f>3600+879.6-109.2-15-58.2-150</f>
        <v>4147.200000000001</v>
      </c>
      <c r="F555" s="36"/>
      <c r="G555" s="36">
        <v>0</v>
      </c>
      <c r="H555" s="36"/>
      <c r="I555" s="111"/>
      <c r="K555" s="115"/>
    </row>
    <row r="556" spans="1:11" ht="55.5" customHeight="1">
      <c r="A556" s="41" t="s">
        <v>138</v>
      </c>
      <c r="B556" s="2" t="s">
        <v>235</v>
      </c>
      <c r="C556" s="2" t="s">
        <v>133</v>
      </c>
      <c r="D556" s="2" t="s">
        <v>157</v>
      </c>
      <c r="E556" s="36">
        <f>E557</f>
        <v>4751.2</v>
      </c>
      <c r="F556" s="36"/>
      <c r="G556" s="36">
        <f>G557</f>
        <v>497.6</v>
      </c>
      <c r="H556" s="36"/>
      <c r="I556" s="111"/>
      <c r="K556" s="115"/>
    </row>
    <row r="557" spans="1:11" ht="19.5" customHeight="1">
      <c r="A557" s="44" t="s">
        <v>347</v>
      </c>
      <c r="B557" s="2" t="s">
        <v>235</v>
      </c>
      <c r="C557" s="2" t="s">
        <v>133</v>
      </c>
      <c r="D557" s="2" t="s">
        <v>346</v>
      </c>
      <c r="E557" s="36">
        <f>3645.9+1105.3</f>
        <v>4751.2</v>
      </c>
      <c r="F557" s="36"/>
      <c r="G557" s="36">
        <v>497.6</v>
      </c>
      <c r="H557" s="36"/>
      <c r="I557" s="111"/>
      <c r="K557" s="115"/>
    </row>
    <row r="558" spans="1:11" ht="21.75" customHeight="1">
      <c r="A558" s="14" t="s">
        <v>37</v>
      </c>
      <c r="B558" s="2" t="s">
        <v>233</v>
      </c>
      <c r="C558" s="2" t="s">
        <v>183</v>
      </c>
      <c r="D558" s="2" t="s">
        <v>157</v>
      </c>
      <c r="E558" s="36">
        <f>E563+E561+E559</f>
        <v>83477.1</v>
      </c>
      <c r="F558" s="36">
        <f>F563+F561+F559</f>
        <v>83240.9</v>
      </c>
      <c r="G558" s="36">
        <f>G563+G561+G559</f>
        <v>19152.1</v>
      </c>
      <c r="H558" s="36">
        <f>H563+H561+H559</f>
        <v>19152.1</v>
      </c>
      <c r="I558" s="111"/>
      <c r="K558" s="115"/>
    </row>
    <row r="559" spans="1:11" ht="53.25" customHeight="1">
      <c r="A559" s="8" t="s">
        <v>465</v>
      </c>
      <c r="B559" s="2" t="s">
        <v>233</v>
      </c>
      <c r="C559" s="2" t="s">
        <v>464</v>
      </c>
      <c r="D559" s="2" t="s">
        <v>157</v>
      </c>
      <c r="E559" s="36">
        <f>E560</f>
        <v>20306</v>
      </c>
      <c r="F559" s="36">
        <f>F560</f>
        <v>20306</v>
      </c>
      <c r="G559" s="36">
        <f>G560</f>
        <v>0</v>
      </c>
      <c r="H559" s="36">
        <f>H560</f>
        <v>0</v>
      </c>
      <c r="I559" s="111"/>
      <c r="K559" s="115"/>
    </row>
    <row r="560" spans="1:11" ht="28.5" customHeight="1">
      <c r="A560" s="44" t="s">
        <v>432</v>
      </c>
      <c r="B560" s="2" t="s">
        <v>233</v>
      </c>
      <c r="C560" s="2" t="s">
        <v>464</v>
      </c>
      <c r="D560" s="2" t="s">
        <v>431</v>
      </c>
      <c r="E560" s="36">
        <f>20306</f>
        <v>20306</v>
      </c>
      <c r="F560" s="36">
        <f>20306</f>
        <v>20306</v>
      </c>
      <c r="G560" s="36">
        <v>0</v>
      </c>
      <c r="H560" s="36"/>
      <c r="I560" s="111"/>
      <c r="K560" s="115"/>
    </row>
    <row r="561" spans="1:11" ht="66.75" customHeight="1">
      <c r="A561" s="8" t="s">
        <v>145</v>
      </c>
      <c r="B561" s="2" t="s">
        <v>233</v>
      </c>
      <c r="C561" s="2" t="s">
        <v>144</v>
      </c>
      <c r="D561" s="2" t="s">
        <v>157</v>
      </c>
      <c r="E561" s="36">
        <f>E562</f>
        <v>236.2</v>
      </c>
      <c r="F561" s="36"/>
      <c r="G561" s="36">
        <f>G562</f>
        <v>0</v>
      </c>
      <c r="H561" s="36"/>
      <c r="I561" s="111"/>
      <c r="K561" s="115"/>
    </row>
    <row r="562" spans="1:11" ht="28.5" customHeight="1">
      <c r="A562" s="44" t="s">
        <v>432</v>
      </c>
      <c r="B562" s="2" t="s">
        <v>233</v>
      </c>
      <c r="C562" s="2" t="s">
        <v>144</v>
      </c>
      <c r="D562" s="2" t="s">
        <v>431</v>
      </c>
      <c r="E562" s="36">
        <f>236.2</f>
        <v>236.2</v>
      </c>
      <c r="F562" s="36"/>
      <c r="G562" s="36">
        <v>0</v>
      </c>
      <c r="H562" s="36"/>
      <c r="I562" s="111"/>
      <c r="K562" s="115"/>
    </row>
    <row r="563" spans="1:11" ht="24.75" customHeight="1">
      <c r="A563" s="13" t="s">
        <v>256</v>
      </c>
      <c r="B563" s="2" t="s">
        <v>233</v>
      </c>
      <c r="C563" s="2" t="s">
        <v>257</v>
      </c>
      <c r="D563" s="2" t="s">
        <v>157</v>
      </c>
      <c r="E563" s="36">
        <f>E564+E566</f>
        <v>62934.9</v>
      </c>
      <c r="F563" s="36">
        <f>F564+F566</f>
        <v>62934.9</v>
      </c>
      <c r="G563" s="36">
        <f>G564+G566</f>
        <v>19152.1</v>
      </c>
      <c r="H563" s="36">
        <f>H564+H566</f>
        <v>19152.1</v>
      </c>
      <c r="I563" s="111"/>
      <c r="K563" s="115"/>
    </row>
    <row r="564" spans="1:11" ht="66" customHeight="1">
      <c r="A564" s="8" t="s">
        <v>324</v>
      </c>
      <c r="B564" s="2" t="s">
        <v>233</v>
      </c>
      <c r="C564" s="2" t="s">
        <v>382</v>
      </c>
      <c r="D564" s="2" t="s">
        <v>157</v>
      </c>
      <c r="E564" s="36">
        <f>E565</f>
        <v>62934.9</v>
      </c>
      <c r="F564" s="36">
        <f>F565</f>
        <v>62934.9</v>
      </c>
      <c r="G564" s="36">
        <f>G565</f>
        <v>19152.1</v>
      </c>
      <c r="H564" s="36">
        <f>H565</f>
        <v>19152.1</v>
      </c>
      <c r="I564" s="111"/>
      <c r="K564" s="115"/>
    </row>
    <row r="565" spans="1:11" ht="30" customHeight="1">
      <c r="A565" s="8" t="s">
        <v>11</v>
      </c>
      <c r="B565" s="2" t="s">
        <v>233</v>
      </c>
      <c r="C565" s="2" t="s">
        <v>382</v>
      </c>
      <c r="D565" s="2" t="s">
        <v>10</v>
      </c>
      <c r="E565" s="36">
        <f>65198-2384+120.9</f>
        <v>62934.9</v>
      </c>
      <c r="F565" s="36">
        <f>65198-2384+120.9</f>
        <v>62934.9</v>
      </c>
      <c r="G565" s="36">
        <v>19152.1</v>
      </c>
      <c r="H565" s="36">
        <v>19152.1</v>
      </c>
      <c r="I565" s="111"/>
      <c r="K565" s="115"/>
    </row>
    <row r="566" spans="1:11" ht="30" customHeight="1">
      <c r="A566" s="8" t="s">
        <v>67</v>
      </c>
      <c r="B566" s="2" t="s">
        <v>233</v>
      </c>
      <c r="C566" s="2" t="s">
        <v>9</v>
      </c>
      <c r="D566" s="2" t="s">
        <v>157</v>
      </c>
      <c r="E566" s="36">
        <f>E567</f>
        <v>0</v>
      </c>
      <c r="F566" s="36">
        <f>F567</f>
        <v>0</v>
      </c>
      <c r="G566" s="36">
        <f>G567</f>
        <v>0</v>
      </c>
      <c r="H566" s="36">
        <f>H567</f>
        <v>0</v>
      </c>
      <c r="I566" s="111"/>
      <c r="K566" s="115"/>
    </row>
    <row r="567" spans="1:11" ht="30" customHeight="1">
      <c r="A567" s="8" t="s">
        <v>11</v>
      </c>
      <c r="B567" s="2" t="s">
        <v>233</v>
      </c>
      <c r="C567" s="2" t="s">
        <v>9</v>
      </c>
      <c r="D567" s="2" t="s">
        <v>10</v>
      </c>
      <c r="E567" s="36">
        <v>0</v>
      </c>
      <c r="F567" s="36">
        <v>0</v>
      </c>
      <c r="G567" s="36">
        <v>0</v>
      </c>
      <c r="H567" s="36">
        <v>0</v>
      </c>
      <c r="I567" s="111"/>
      <c r="K567" s="115"/>
    </row>
    <row r="568" spans="1:11" s="74" customFormat="1" ht="22.5" customHeight="1">
      <c r="A568" s="65" t="s">
        <v>45</v>
      </c>
      <c r="B568" s="75" t="s">
        <v>128</v>
      </c>
      <c r="C568" s="75" t="s">
        <v>183</v>
      </c>
      <c r="D568" s="75" t="s">
        <v>157</v>
      </c>
      <c r="E568" s="71">
        <f>E569</f>
        <v>10718.599999999999</v>
      </c>
      <c r="F568" s="73"/>
      <c r="G568" s="71">
        <f>G569</f>
        <v>4393.1</v>
      </c>
      <c r="H568" s="73"/>
      <c r="I568" s="88">
        <f>G568/E568*100</f>
        <v>40.985763066072074</v>
      </c>
      <c r="K568" s="115"/>
    </row>
    <row r="569" spans="1:11" ht="18.75" customHeight="1">
      <c r="A569" s="95" t="s">
        <v>101</v>
      </c>
      <c r="B569" s="96" t="s">
        <v>102</v>
      </c>
      <c r="C569" s="96" t="s">
        <v>183</v>
      </c>
      <c r="D569" s="97" t="s">
        <v>157</v>
      </c>
      <c r="E569" s="37">
        <f>E570+E578+E575</f>
        <v>10718.599999999999</v>
      </c>
      <c r="F569" s="36"/>
      <c r="G569" s="37">
        <f>G570+G578+G575</f>
        <v>4393.1</v>
      </c>
      <c r="H569" s="36"/>
      <c r="I569" s="111"/>
      <c r="K569" s="115"/>
    </row>
    <row r="570" spans="1:11" ht="24.75" customHeight="1">
      <c r="A570" s="13" t="s">
        <v>52</v>
      </c>
      <c r="B570" s="2" t="s">
        <v>102</v>
      </c>
      <c r="C570" s="2" t="s">
        <v>229</v>
      </c>
      <c r="D570" s="2" t="s">
        <v>157</v>
      </c>
      <c r="E570" s="36">
        <f>E571</f>
        <v>3132.3</v>
      </c>
      <c r="F570" s="36"/>
      <c r="G570" s="36">
        <f>G571</f>
        <v>1393.5</v>
      </c>
      <c r="H570" s="36"/>
      <c r="I570" s="111"/>
      <c r="K570" s="115"/>
    </row>
    <row r="571" spans="1:11" ht="27.75" customHeight="1">
      <c r="A571" s="13" t="s">
        <v>197</v>
      </c>
      <c r="B571" s="2" t="s">
        <v>102</v>
      </c>
      <c r="C571" s="5" t="s">
        <v>285</v>
      </c>
      <c r="D571" s="5" t="s">
        <v>157</v>
      </c>
      <c r="E571" s="36">
        <f>E572</f>
        <v>3132.3</v>
      </c>
      <c r="F571" s="36"/>
      <c r="G571" s="36">
        <f>G572</f>
        <v>1393.5</v>
      </c>
      <c r="H571" s="36"/>
      <c r="I571" s="111"/>
      <c r="K571" s="115"/>
    </row>
    <row r="572" spans="1:11" ht="31.5" customHeight="1">
      <c r="A572" s="13" t="s">
        <v>60</v>
      </c>
      <c r="B572" s="2" t="s">
        <v>102</v>
      </c>
      <c r="C572" s="5" t="s">
        <v>61</v>
      </c>
      <c r="D572" s="5" t="s">
        <v>157</v>
      </c>
      <c r="E572" s="36">
        <f>E573</f>
        <v>3132.3</v>
      </c>
      <c r="F572" s="36"/>
      <c r="G572" s="36">
        <f>G573</f>
        <v>1393.5</v>
      </c>
      <c r="H572" s="36"/>
      <c r="I572" s="111"/>
      <c r="K572" s="115"/>
    </row>
    <row r="573" spans="1:11" ht="42.75" customHeight="1">
      <c r="A573" s="17" t="s">
        <v>250</v>
      </c>
      <c r="B573" s="2" t="s">
        <v>102</v>
      </c>
      <c r="C573" s="5" t="s">
        <v>61</v>
      </c>
      <c r="D573" s="5" t="s">
        <v>249</v>
      </c>
      <c r="E573" s="36">
        <f>3132.3</f>
        <v>3132.3</v>
      </c>
      <c r="F573" s="36"/>
      <c r="G573" s="36">
        <v>1393.5</v>
      </c>
      <c r="H573" s="36"/>
      <c r="I573" s="111"/>
      <c r="K573" s="115"/>
    </row>
    <row r="574" spans="1:11" ht="25.5" customHeight="1">
      <c r="A574" s="93" t="s">
        <v>147</v>
      </c>
      <c r="B574" s="2" t="s">
        <v>102</v>
      </c>
      <c r="C574" s="5" t="s">
        <v>61</v>
      </c>
      <c r="D574" s="5" t="s">
        <v>146</v>
      </c>
      <c r="E574" s="36">
        <v>0</v>
      </c>
      <c r="F574" s="36"/>
      <c r="G574" s="36"/>
      <c r="H574" s="36"/>
      <c r="I574" s="111"/>
      <c r="K574" s="115"/>
    </row>
    <row r="575" spans="1:11" ht="21.75" customHeight="1">
      <c r="A575" s="28" t="s">
        <v>122</v>
      </c>
      <c r="B575" s="2" t="s">
        <v>102</v>
      </c>
      <c r="C575" s="5" t="s">
        <v>467</v>
      </c>
      <c r="D575" s="5" t="s">
        <v>157</v>
      </c>
      <c r="E575" s="36">
        <f>E576</f>
        <v>111.8</v>
      </c>
      <c r="F575" s="36"/>
      <c r="G575" s="36">
        <f>G576</f>
        <v>0</v>
      </c>
      <c r="H575" s="36"/>
      <c r="I575" s="111"/>
      <c r="K575" s="115"/>
    </row>
    <row r="576" spans="1:11" ht="67.5" customHeight="1">
      <c r="A576" s="28" t="s">
        <v>466</v>
      </c>
      <c r="B576" s="2" t="s">
        <v>102</v>
      </c>
      <c r="C576" s="5" t="s">
        <v>467</v>
      </c>
      <c r="D576" s="5" t="s">
        <v>157</v>
      </c>
      <c r="E576" s="36">
        <f>E577</f>
        <v>111.8</v>
      </c>
      <c r="F576" s="36"/>
      <c r="G576" s="36">
        <f>G577</f>
        <v>0</v>
      </c>
      <c r="H576" s="36"/>
      <c r="I576" s="111"/>
      <c r="K576" s="115"/>
    </row>
    <row r="577" spans="1:11" ht="41.25" customHeight="1">
      <c r="A577" s="17" t="s">
        <v>250</v>
      </c>
      <c r="B577" s="2" t="s">
        <v>102</v>
      </c>
      <c r="C577" s="5" t="s">
        <v>467</v>
      </c>
      <c r="D577" s="5" t="s">
        <v>249</v>
      </c>
      <c r="E577" s="36">
        <f>111.8</f>
        <v>111.8</v>
      </c>
      <c r="F577" s="36"/>
      <c r="G577" s="36">
        <v>0</v>
      </c>
      <c r="H577" s="36"/>
      <c r="I577" s="111"/>
      <c r="K577" s="115"/>
    </row>
    <row r="578" spans="1:11" ht="54.75" customHeight="1">
      <c r="A578" s="55" t="s">
        <v>331</v>
      </c>
      <c r="B578" s="2" t="s">
        <v>102</v>
      </c>
      <c r="C578" s="5" t="s">
        <v>36</v>
      </c>
      <c r="D578" s="5" t="s">
        <v>157</v>
      </c>
      <c r="E578" s="33">
        <f>E581+E580+E579</f>
        <v>7474.5</v>
      </c>
      <c r="F578" s="36"/>
      <c r="G578" s="33">
        <f>G581+G580+G579</f>
        <v>2999.6000000000004</v>
      </c>
      <c r="H578" s="36"/>
      <c r="I578" s="111"/>
      <c r="K578" s="115"/>
    </row>
    <row r="579" spans="1:11" ht="28.5" customHeight="1">
      <c r="A579" s="10" t="s">
        <v>24</v>
      </c>
      <c r="B579" s="2" t="s">
        <v>102</v>
      </c>
      <c r="C579" s="5" t="s">
        <v>137</v>
      </c>
      <c r="D579" s="5" t="s">
        <v>23</v>
      </c>
      <c r="E579" s="33">
        <f>2496</f>
        <v>2496</v>
      </c>
      <c r="F579" s="36"/>
      <c r="G579" s="33">
        <v>1107.2</v>
      </c>
      <c r="H579" s="36"/>
      <c r="I579" s="111"/>
      <c r="K579" s="115"/>
    </row>
    <row r="580" spans="1:11" ht="45.75" customHeight="1">
      <c r="A580" s="17" t="s">
        <v>250</v>
      </c>
      <c r="B580" s="2" t="s">
        <v>102</v>
      </c>
      <c r="C580" s="5" t="s">
        <v>137</v>
      </c>
      <c r="D580" s="5" t="s">
        <v>249</v>
      </c>
      <c r="E580" s="33">
        <f>3804</f>
        <v>3804</v>
      </c>
      <c r="F580" s="36"/>
      <c r="G580" s="33">
        <v>1892.4</v>
      </c>
      <c r="H580" s="36"/>
      <c r="I580" s="111"/>
      <c r="K580" s="115"/>
    </row>
    <row r="581" spans="1:11" ht="16.5" customHeight="1">
      <c r="A581" s="93" t="s">
        <v>147</v>
      </c>
      <c r="B581" s="2" t="s">
        <v>102</v>
      </c>
      <c r="C581" s="5" t="s">
        <v>137</v>
      </c>
      <c r="D581" s="5" t="s">
        <v>146</v>
      </c>
      <c r="E581" s="33">
        <f>1174.5</f>
        <v>1174.5</v>
      </c>
      <c r="F581" s="36"/>
      <c r="G581" s="33">
        <v>0</v>
      </c>
      <c r="H581" s="36"/>
      <c r="I581" s="111"/>
      <c r="K581" s="115"/>
    </row>
    <row r="582" spans="1:11" s="72" customFormat="1" ht="18" customHeight="1">
      <c r="A582" s="65" t="s">
        <v>103</v>
      </c>
      <c r="B582" s="75" t="s">
        <v>104</v>
      </c>
      <c r="C582" s="75" t="s">
        <v>183</v>
      </c>
      <c r="D582" s="75" t="s">
        <v>157</v>
      </c>
      <c r="E582" s="71">
        <f>E583+E587</f>
        <v>15250</v>
      </c>
      <c r="F582" s="71"/>
      <c r="G582" s="71">
        <f>G583+G587</f>
        <v>7700</v>
      </c>
      <c r="H582" s="71"/>
      <c r="I582" s="88">
        <f>G582/E582*100</f>
        <v>50.49180327868853</v>
      </c>
      <c r="K582" s="115"/>
    </row>
    <row r="583" spans="1:11" ht="12.75">
      <c r="A583" s="14" t="s">
        <v>173</v>
      </c>
      <c r="B583" s="6" t="s">
        <v>105</v>
      </c>
      <c r="C583" s="6" t="s">
        <v>183</v>
      </c>
      <c r="D583" s="6" t="s">
        <v>157</v>
      </c>
      <c r="E583" s="36">
        <f>E584</f>
        <v>7550</v>
      </c>
      <c r="F583" s="36"/>
      <c r="G583" s="36">
        <f>G584</f>
        <v>3775</v>
      </c>
      <c r="H583" s="36"/>
      <c r="I583" s="111"/>
      <c r="K583" s="115"/>
    </row>
    <row r="584" spans="1:11" ht="18.75" customHeight="1">
      <c r="A584" s="13" t="s">
        <v>38</v>
      </c>
      <c r="B584" s="6" t="s">
        <v>105</v>
      </c>
      <c r="C584" s="6" t="s">
        <v>216</v>
      </c>
      <c r="D584" s="6" t="s">
        <v>157</v>
      </c>
      <c r="E584" s="36">
        <f>E585</f>
        <v>7550</v>
      </c>
      <c r="F584" s="36"/>
      <c r="G584" s="36">
        <f>G585</f>
        <v>3775</v>
      </c>
      <c r="H584" s="36"/>
      <c r="I584" s="111"/>
      <c r="K584" s="115"/>
    </row>
    <row r="585" spans="1:11" ht="18.75" customHeight="1">
      <c r="A585" s="13" t="s">
        <v>277</v>
      </c>
      <c r="B585" s="6" t="s">
        <v>105</v>
      </c>
      <c r="C585" s="6" t="s">
        <v>276</v>
      </c>
      <c r="D585" s="6" t="s">
        <v>157</v>
      </c>
      <c r="E585" s="36">
        <f>E586</f>
        <v>7550</v>
      </c>
      <c r="F585" s="36"/>
      <c r="G585" s="36">
        <f>G586</f>
        <v>3775</v>
      </c>
      <c r="H585" s="36"/>
      <c r="I585" s="111"/>
      <c r="K585" s="115"/>
    </row>
    <row r="586" spans="1:11" ht="44.25" customHeight="1">
      <c r="A586" s="17" t="s">
        <v>248</v>
      </c>
      <c r="B586" s="6" t="s">
        <v>105</v>
      </c>
      <c r="C586" s="6" t="s">
        <v>276</v>
      </c>
      <c r="D586" s="6" t="s">
        <v>247</v>
      </c>
      <c r="E586" s="36">
        <f>7550</f>
        <v>7550</v>
      </c>
      <c r="F586" s="36"/>
      <c r="G586" s="36">
        <v>3775</v>
      </c>
      <c r="H586" s="36"/>
      <c r="I586" s="111"/>
      <c r="K586" s="115"/>
    </row>
    <row r="587" spans="1:11" ht="18" customHeight="1">
      <c r="A587" s="14" t="s">
        <v>174</v>
      </c>
      <c r="B587" s="6" t="s">
        <v>106</v>
      </c>
      <c r="C587" s="6" t="s">
        <v>183</v>
      </c>
      <c r="D587" s="6" t="s">
        <v>157</v>
      </c>
      <c r="E587" s="36">
        <f>E588</f>
        <v>7700</v>
      </c>
      <c r="F587" s="36"/>
      <c r="G587" s="36">
        <f>G588</f>
        <v>3925</v>
      </c>
      <c r="H587" s="36"/>
      <c r="I587" s="111"/>
      <c r="K587" s="115"/>
    </row>
    <row r="588" spans="1:11" ht="31.5" customHeight="1">
      <c r="A588" s="8" t="s">
        <v>27</v>
      </c>
      <c r="B588" s="6" t="s">
        <v>106</v>
      </c>
      <c r="C588" s="6" t="s">
        <v>217</v>
      </c>
      <c r="D588" s="6" t="s">
        <v>157</v>
      </c>
      <c r="E588" s="36">
        <f>E589</f>
        <v>7700</v>
      </c>
      <c r="F588" s="36"/>
      <c r="G588" s="36">
        <f>G589</f>
        <v>3925</v>
      </c>
      <c r="H588" s="36"/>
      <c r="I588" s="111"/>
      <c r="K588" s="115"/>
    </row>
    <row r="589" spans="1:11" ht="24" customHeight="1">
      <c r="A589" s="13" t="s">
        <v>83</v>
      </c>
      <c r="B589" s="6" t="s">
        <v>106</v>
      </c>
      <c r="C589" s="6" t="s">
        <v>84</v>
      </c>
      <c r="D589" s="6" t="s">
        <v>157</v>
      </c>
      <c r="E589" s="36">
        <f>E590</f>
        <v>7700</v>
      </c>
      <c r="F589" s="36"/>
      <c r="G589" s="36">
        <f>G590</f>
        <v>3925</v>
      </c>
      <c r="H589" s="36"/>
      <c r="I589" s="111"/>
      <c r="K589" s="115"/>
    </row>
    <row r="590" spans="1:11" ht="44.25" customHeight="1">
      <c r="A590" s="17" t="s">
        <v>248</v>
      </c>
      <c r="B590" s="6" t="s">
        <v>106</v>
      </c>
      <c r="C590" s="6" t="s">
        <v>84</v>
      </c>
      <c r="D590" s="6" t="s">
        <v>247</v>
      </c>
      <c r="E590" s="36">
        <f>7550+150</f>
        <v>7700</v>
      </c>
      <c r="F590" s="36"/>
      <c r="G590" s="36">
        <v>3925</v>
      </c>
      <c r="H590" s="36"/>
      <c r="I590" s="111"/>
      <c r="K590" s="115"/>
    </row>
    <row r="591" spans="1:11" ht="27.75" customHeight="1">
      <c r="A591" s="65" t="s">
        <v>185</v>
      </c>
      <c r="B591" s="69" t="s">
        <v>107</v>
      </c>
      <c r="C591" s="69" t="s">
        <v>183</v>
      </c>
      <c r="D591" s="69" t="s">
        <v>157</v>
      </c>
      <c r="E591" s="76">
        <f>E592</f>
        <v>74095.5</v>
      </c>
      <c r="F591" s="37"/>
      <c r="G591" s="76">
        <f>G592</f>
        <v>20236.1</v>
      </c>
      <c r="H591" s="37"/>
      <c r="I591" s="88">
        <f>G591/E591*100</f>
        <v>27.31083534087765</v>
      </c>
      <c r="K591" s="115"/>
    </row>
    <row r="592" spans="1:11" ht="30" customHeight="1">
      <c r="A592" s="13" t="s">
        <v>109</v>
      </c>
      <c r="B592" s="2" t="s">
        <v>108</v>
      </c>
      <c r="C592" s="6" t="s">
        <v>183</v>
      </c>
      <c r="D592" s="6" t="s">
        <v>157</v>
      </c>
      <c r="E592" s="36">
        <f>E593</f>
        <v>74095.5</v>
      </c>
      <c r="F592" s="36"/>
      <c r="G592" s="36">
        <f>G593</f>
        <v>20236.1</v>
      </c>
      <c r="H592" s="36"/>
      <c r="I592" s="111"/>
      <c r="K592" s="115"/>
    </row>
    <row r="593" spans="1:11" ht="20.25" customHeight="1">
      <c r="A593" s="9" t="s">
        <v>186</v>
      </c>
      <c r="B593" s="2" t="s">
        <v>108</v>
      </c>
      <c r="C593" s="2" t="s">
        <v>187</v>
      </c>
      <c r="D593" s="2" t="s">
        <v>157</v>
      </c>
      <c r="E593" s="36">
        <f>E594</f>
        <v>74095.5</v>
      </c>
      <c r="F593" s="36"/>
      <c r="G593" s="36">
        <f>G594</f>
        <v>20236.1</v>
      </c>
      <c r="H593" s="36"/>
      <c r="I593" s="111"/>
      <c r="K593" s="115"/>
    </row>
    <row r="594" spans="1:11" ht="18" customHeight="1">
      <c r="A594" s="9" t="s">
        <v>181</v>
      </c>
      <c r="B594" s="2" t="s">
        <v>108</v>
      </c>
      <c r="C594" s="2" t="s">
        <v>32</v>
      </c>
      <c r="D594" s="2" t="s">
        <v>157</v>
      </c>
      <c r="E594" s="36">
        <f>E595</f>
        <v>74095.5</v>
      </c>
      <c r="F594" s="36"/>
      <c r="G594" s="36">
        <f>G595</f>
        <v>20236.1</v>
      </c>
      <c r="H594" s="36"/>
      <c r="I594" s="111"/>
      <c r="K594" s="115"/>
    </row>
    <row r="595" spans="1:11" ht="18.75" customHeight="1">
      <c r="A595" s="13" t="s">
        <v>118</v>
      </c>
      <c r="B595" s="2" t="s">
        <v>108</v>
      </c>
      <c r="C595" s="2" t="s">
        <v>32</v>
      </c>
      <c r="D595" s="2" t="s">
        <v>117</v>
      </c>
      <c r="E595" s="36">
        <f>81138-1000-3042.5-3000</f>
        <v>74095.5</v>
      </c>
      <c r="F595" s="36"/>
      <c r="G595" s="36">
        <v>20236.1</v>
      </c>
      <c r="H595" s="36"/>
      <c r="I595" s="111"/>
      <c r="K595" s="115"/>
    </row>
    <row r="596" spans="1:11" ht="57" customHeight="1">
      <c r="A596" s="65" t="s">
        <v>293</v>
      </c>
      <c r="B596" s="75" t="s">
        <v>292</v>
      </c>
      <c r="C596" s="75" t="s">
        <v>183</v>
      </c>
      <c r="D596" s="75" t="s">
        <v>157</v>
      </c>
      <c r="E596" s="71">
        <f>E599+E601</f>
        <v>157500</v>
      </c>
      <c r="F596" s="36"/>
      <c r="G596" s="71">
        <f>G599+G601</f>
        <v>26785.1</v>
      </c>
      <c r="H596" s="36"/>
      <c r="I596" s="88">
        <f>G596/E596*100</f>
        <v>17.0064126984127</v>
      </c>
      <c r="K596" s="115"/>
    </row>
    <row r="597" spans="1:11" ht="45" customHeight="1">
      <c r="A597" s="14" t="s">
        <v>296</v>
      </c>
      <c r="B597" s="2" t="s">
        <v>297</v>
      </c>
      <c r="C597" s="2" t="s">
        <v>183</v>
      </c>
      <c r="D597" s="2" t="s">
        <v>157</v>
      </c>
      <c r="E597" s="36">
        <f>E600</f>
        <v>0</v>
      </c>
      <c r="F597" s="36"/>
      <c r="G597" s="36">
        <f>G600</f>
        <v>0</v>
      </c>
      <c r="H597" s="36"/>
      <c r="I597" s="111"/>
      <c r="K597" s="115"/>
    </row>
    <row r="598" spans="1:11" ht="25.5" customHeight="1">
      <c r="A598" s="13" t="s">
        <v>304</v>
      </c>
      <c r="B598" s="2" t="s">
        <v>297</v>
      </c>
      <c r="C598" s="2" t="s">
        <v>303</v>
      </c>
      <c r="D598" s="2" t="s">
        <v>157</v>
      </c>
      <c r="E598" s="36">
        <v>0</v>
      </c>
      <c r="F598" s="36"/>
      <c r="G598" s="36">
        <v>0</v>
      </c>
      <c r="H598" s="36"/>
      <c r="I598" s="111"/>
      <c r="K598" s="115"/>
    </row>
    <row r="599" spans="1:11" ht="21" customHeight="1">
      <c r="A599" s="14" t="s">
        <v>294</v>
      </c>
      <c r="B599" s="2" t="s">
        <v>295</v>
      </c>
      <c r="C599" s="2" t="s">
        <v>183</v>
      </c>
      <c r="D599" s="2" t="s">
        <v>157</v>
      </c>
      <c r="E599" s="36">
        <f>E600</f>
        <v>0</v>
      </c>
      <c r="F599" s="36"/>
      <c r="G599" s="36">
        <f>G600</f>
        <v>0</v>
      </c>
      <c r="H599" s="36"/>
      <c r="I599" s="111"/>
      <c r="K599" s="115"/>
    </row>
    <row r="600" spans="1:11" ht="24" customHeight="1">
      <c r="A600" s="8" t="s">
        <v>306</v>
      </c>
      <c r="B600" s="2" t="s">
        <v>295</v>
      </c>
      <c r="C600" s="2" t="s">
        <v>305</v>
      </c>
      <c r="D600" s="2" t="s">
        <v>157</v>
      </c>
      <c r="E600" s="36">
        <v>0</v>
      </c>
      <c r="F600" s="36"/>
      <c r="G600" s="36">
        <v>0</v>
      </c>
      <c r="H600" s="36"/>
      <c r="I600" s="111"/>
      <c r="K600" s="115"/>
    </row>
    <row r="601" spans="1:11" ht="29.25" customHeight="1">
      <c r="A601" s="14" t="s">
        <v>50</v>
      </c>
      <c r="B601" s="2" t="s">
        <v>298</v>
      </c>
      <c r="C601" s="2" t="s">
        <v>183</v>
      </c>
      <c r="D601" s="2" t="s">
        <v>157</v>
      </c>
      <c r="E601" s="36">
        <f>E602</f>
        <v>157500</v>
      </c>
      <c r="F601" s="36"/>
      <c r="G601" s="36">
        <f>G602</f>
        <v>26785.1</v>
      </c>
      <c r="H601" s="36"/>
      <c r="I601" s="111"/>
      <c r="K601" s="115"/>
    </row>
    <row r="602" spans="1:11" ht="21" customHeight="1">
      <c r="A602" s="12" t="s">
        <v>256</v>
      </c>
      <c r="B602" s="2" t="s">
        <v>298</v>
      </c>
      <c r="C602" s="2" t="s">
        <v>257</v>
      </c>
      <c r="D602" s="2" t="s">
        <v>157</v>
      </c>
      <c r="E602" s="36">
        <f>E603+E605</f>
        <v>157500</v>
      </c>
      <c r="F602" s="36"/>
      <c r="G602" s="36">
        <f>G603+G605</f>
        <v>26785.1</v>
      </c>
      <c r="H602" s="36"/>
      <c r="I602" s="111"/>
      <c r="K602" s="115"/>
    </row>
    <row r="603" spans="1:11" ht="66.75" customHeight="1">
      <c r="A603" s="12" t="s">
        <v>240</v>
      </c>
      <c r="B603" s="2" t="s">
        <v>298</v>
      </c>
      <c r="C603" s="2" t="s">
        <v>452</v>
      </c>
      <c r="D603" s="2" t="s">
        <v>157</v>
      </c>
      <c r="E603" s="36">
        <f>E604</f>
        <v>15750</v>
      </c>
      <c r="F603" s="36"/>
      <c r="G603" s="36">
        <f>G604</f>
        <v>4359.5</v>
      </c>
      <c r="H603" s="36"/>
      <c r="I603" s="111"/>
      <c r="K603" s="115"/>
    </row>
    <row r="604" spans="1:11" ht="21" customHeight="1">
      <c r="A604" s="94" t="s">
        <v>426</v>
      </c>
      <c r="B604" s="2" t="s">
        <v>298</v>
      </c>
      <c r="C604" s="2" t="s">
        <v>452</v>
      </c>
      <c r="D604" s="2" t="s">
        <v>425</v>
      </c>
      <c r="E604" s="36">
        <f>3489.5+15750-3489.5</f>
        <v>15750</v>
      </c>
      <c r="F604" s="36"/>
      <c r="G604" s="36">
        <v>4359.5</v>
      </c>
      <c r="H604" s="36"/>
      <c r="I604" s="111"/>
      <c r="K604" s="115"/>
    </row>
    <row r="605" spans="1:11" ht="53.25" customHeight="1">
      <c r="A605" s="12" t="s">
        <v>453</v>
      </c>
      <c r="B605" s="2" t="s">
        <v>298</v>
      </c>
      <c r="C605" s="2" t="s">
        <v>452</v>
      </c>
      <c r="D605" s="2" t="s">
        <v>157</v>
      </c>
      <c r="E605" s="36">
        <f>E606</f>
        <v>141750</v>
      </c>
      <c r="F605" s="36"/>
      <c r="G605" s="36">
        <f>G606</f>
        <v>22425.6</v>
      </c>
      <c r="H605" s="36"/>
      <c r="I605" s="111"/>
      <c r="K605" s="115"/>
    </row>
    <row r="606" spans="1:11" ht="21" customHeight="1">
      <c r="A606" s="94" t="s">
        <v>426</v>
      </c>
      <c r="B606" s="2" t="s">
        <v>298</v>
      </c>
      <c r="C606" s="2" t="s">
        <v>452</v>
      </c>
      <c r="D606" s="2" t="s">
        <v>425</v>
      </c>
      <c r="E606" s="36">
        <f>141750</f>
        <v>141750</v>
      </c>
      <c r="F606" s="36"/>
      <c r="G606" s="36">
        <v>22425.6</v>
      </c>
      <c r="H606" s="36"/>
      <c r="I606" s="111"/>
      <c r="K606" s="115"/>
    </row>
    <row r="607" spans="1:11" ht="21" customHeight="1">
      <c r="A607" s="61" t="s">
        <v>180</v>
      </c>
      <c r="B607" s="23"/>
      <c r="C607" s="23"/>
      <c r="D607" s="23"/>
      <c r="E607" s="112">
        <f>E13+E115+E120+E139+E170+E186+E192+E378+E427+E522+E596+E568+E582+E591</f>
        <v>4648977.049999999</v>
      </c>
      <c r="F607" s="112">
        <f>F13+F115+F120+F139+F170+F186+F192+F378+F427+F522</f>
        <v>1677226.45</v>
      </c>
      <c r="G607" s="112">
        <f>G13+G115+G120+G139+G170+G186+G192+G378+G427+G522+G596+G568+G582+G591</f>
        <v>1696891.5000000002</v>
      </c>
      <c r="H607" s="112">
        <f>H13+H115+H120+H139+H170+H186+H192+H378+H427+H522</f>
        <v>719635.1999999998</v>
      </c>
      <c r="I607" s="113">
        <f>G607/E607*100</f>
        <v>36.50032000050421</v>
      </c>
      <c r="K607" s="115"/>
    </row>
    <row r="608" ht="12.75">
      <c r="K608" s="115"/>
    </row>
    <row r="609" ht="12.75">
      <c r="K609" s="115"/>
    </row>
    <row r="610" ht="12.75">
      <c r="K610" s="115"/>
    </row>
    <row r="611" ht="12.75">
      <c r="K611" s="115"/>
    </row>
    <row r="612" ht="12.75">
      <c r="K612" s="115"/>
    </row>
    <row r="613" ht="12.75">
      <c r="K613" s="115"/>
    </row>
    <row r="614" ht="12.75">
      <c r="K614" s="115"/>
    </row>
    <row r="615" ht="12.75">
      <c r="K615" s="115"/>
    </row>
    <row r="616" ht="12.75">
      <c r="K616" s="115"/>
    </row>
    <row r="617" ht="12.75">
      <c r="K617" s="115"/>
    </row>
    <row r="618" ht="12.75">
      <c r="K618" s="115"/>
    </row>
    <row r="619" ht="12.75">
      <c r="K619" s="115"/>
    </row>
    <row r="620" ht="12.75">
      <c r="K620" s="115"/>
    </row>
    <row r="621" ht="12.75">
      <c r="K621" s="115"/>
    </row>
    <row r="622" ht="12.75">
      <c r="K622" s="115"/>
    </row>
    <row r="623" ht="12.75">
      <c r="K623" s="115"/>
    </row>
    <row r="624" ht="12.75">
      <c r="K624" s="115"/>
    </row>
    <row r="625" ht="12.75">
      <c r="K625" s="115"/>
    </row>
    <row r="626" ht="12.75">
      <c r="K626" s="115"/>
    </row>
    <row r="627" ht="12.75">
      <c r="K627" s="115"/>
    </row>
    <row r="628" ht="12.75">
      <c r="K628" s="115"/>
    </row>
    <row r="629" ht="12.75">
      <c r="K629" s="115"/>
    </row>
    <row r="630" ht="12.75">
      <c r="K630" s="115"/>
    </row>
    <row r="631" ht="12.75">
      <c r="K631" s="115"/>
    </row>
    <row r="632" ht="12.75">
      <c r="K632" s="115"/>
    </row>
    <row r="633" ht="12.75">
      <c r="K633" s="115"/>
    </row>
    <row r="634" ht="12.75">
      <c r="K634" s="115"/>
    </row>
    <row r="635" ht="12.75">
      <c r="K635" s="115"/>
    </row>
    <row r="636" ht="12.75">
      <c r="K636" s="115"/>
    </row>
    <row r="637" ht="12.75">
      <c r="K637" s="115"/>
    </row>
    <row r="638" ht="12.75">
      <c r="K638" s="115"/>
    </row>
    <row r="639" ht="12.75">
      <c r="K639" s="115"/>
    </row>
    <row r="640" ht="12.75">
      <c r="K640" s="115"/>
    </row>
    <row r="641" ht="12.75">
      <c r="K641" s="115"/>
    </row>
    <row r="642" ht="12.75">
      <c r="K642" s="115"/>
    </row>
    <row r="643" ht="12.75">
      <c r="K643" s="115"/>
    </row>
    <row r="644" ht="12.75">
      <c r="K644" s="115"/>
    </row>
    <row r="645" ht="12.75">
      <c r="K645" s="115"/>
    </row>
    <row r="646" ht="12.75">
      <c r="K646" s="115"/>
    </row>
    <row r="647" ht="12.75">
      <c r="K647" s="115"/>
    </row>
    <row r="648" ht="12.75">
      <c r="K648" s="115"/>
    </row>
    <row r="649" ht="12.75">
      <c r="K649" s="115"/>
    </row>
    <row r="650" ht="12.75">
      <c r="K650" s="115"/>
    </row>
    <row r="651" ht="12.75">
      <c r="K651" s="115"/>
    </row>
    <row r="652" ht="12.75">
      <c r="K652" s="115"/>
    </row>
    <row r="653" ht="12.75">
      <c r="K653" s="115"/>
    </row>
    <row r="654" ht="12.75">
      <c r="K654" s="115"/>
    </row>
    <row r="655" ht="12.75">
      <c r="K655" s="115"/>
    </row>
    <row r="656" ht="12.75">
      <c r="K656" s="115"/>
    </row>
    <row r="657" ht="12.75">
      <c r="K657" s="115"/>
    </row>
    <row r="658" ht="12.75">
      <c r="K658" s="115"/>
    </row>
    <row r="659" ht="12.75">
      <c r="K659" s="115"/>
    </row>
    <row r="660" ht="12.75">
      <c r="K660" s="115"/>
    </row>
    <row r="661" ht="12.75">
      <c r="K661" s="115"/>
    </row>
    <row r="662" ht="12.75">
      <c r="K662" s="115"/>
    </row>
    <row r="663" ht="12.75">
      <c r="K663" s="115"/>
    </row>
    <row r="664" ht="12.75">
      <c r="K664" s="115"/>
    </row>
    <row r="665" ht="12.75">
      <c r="K665" s="115"/>
    </row>
    <row r="666" ht="12.75">
      <c r="K666" s="115"/>
    </row>
    <row r="667" ht="12.75">
      <c r="K667" s="115"/>
    </row>
    <row r="668" ht="12.75">
      <c r="K668" s="115"/>
    </row>
    <row r="669" ht="12.75">
      <c r="K669" s="115"/>
    </row>
    <row r="670" ht="12.75">
      <c r="K670" s="115"/>
    </row>
    <row r="671" ht="12.75">
      <c r="K671" s="115"/>
    </row>
    <row r="672" ht="12.75">
      <c r="K672" s="115"/>
    </row>
    <row r="673" ht="12.75">
      <c r="K673" s="115"/>
    </row>
    <row r="674" ht="12.75">
      <c r="K674" s="115"/>
    </row>
    <row r="675" ht="12.75">
      <c r="K675" s="115"/>
    </row>
    <row r="676" ht="12.75">
      <c r="K676" s="115"/>
    </row>
    <row r="677" ht="12.75">
      <c r="K677" s="115"/>
    </row>
    <row r="678" ht="12.75">
      <c r="K678" s="115"/>
    </row>
    <row r="679" ht="12.75">
      <c r="K679" s="115"/>
    </row>
  </sheetData>
  <sheetProtection/>
  <mergeCells count="8">
    <mergeCell ref="A9:I9"/>
    <mergeCell ref="G11:G12"/>
    <mergeCell ref="H11:H12"/>
    <mergeCell ref="I11:I12"/>
    <mergeCell ref="A11:A12"/>
    <mergeCell ref="B11:D11"/>
    <mergeCell ref="E11:E12"/>
    <mergeCell ref="F11:F12"/>
  </mergeCells>
  <printOptions horizontalCentered="1"/>
  <pageMargins left="1.25" right="0.23" top="0.53" bottom="0.23" header="0.29" footer="0.25"/>
  <pageSetup horizontalDpi="600" verticalDpi="600" orientation="portrait" paperSize="9" scale="6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2013-07-01T11:52:15Z</cp:lastPrinted>
  <dcterms:created xsi:type="dcterms:W3CDTF">2003-07-23T10:25:27Z</dcterms:created>
  <dcterms:modified xsi:type="dcterms:W3CDTF">2013-08-05T07:51:58Z</dcterms:modified>
  <cp:category/>
  <cp:version/>
  <cp:contentType/>
  <cp:contentStatus/>
</cp:coreProperties>
</file>